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queryTables/queryTable1226.xml" ContentType="application/vnd.openxmlformats-officedocument.spreadsheetml.queryTable+xml"/>
  <Override PartName="/xl/queryTables/queryTable1227.xml" ContentType="application/vnd.openxmlformats-officedocument.spreadsheetml.queryTable+xml"/>
  <Override PartName="/xl/queryTables/queryTable1228.xml" ContentType="application/vnd.openxmlformats-officedocument.spreadsheetml.queryTable+xml"/>
  <Override PartName="/xl/queryTables/queryTable1229.xml" ContentType="application/vnd.openxmlformats-officedocument.spreadsheetml.queryTable+xml"/>
  <Override PartName="/xl/queryTables/queryTable1230.xml" ContentType="application/vnd.openxmlformats-officedocument.spreadsheetml.queryTable+xml"/>
  <Override PartName="/xl/queryTables/queryTable1231.xml" ContentType="application/vnd.openxmlformats-officedocument.spreadsheetml.queryTable+xml"/>
  <Override PartName="/xl/queryTables/queryTable1232.xml" ContentType="application/vnd.openxmlformats-officedocument.spreadsheetml.queryTable+xml"/>
  <Override PartName="/xl/queryTables/queryTable1233.xml" ContentType="application/vnd.openxmlformats-officedocument.spreadsheetml.queryTable+xml"/>
  <Override PartName="/xl/queryTables/queryTable1234.xml" ContentType="application/vnd.openxmlformats-officedocument.spreadsheetml.queryTable+xml"/>
  <Override PartName="/xl/queryTables/queryTable1235.xml" ContentType="application/vnd.openxmlformats-officedocument.spreadsheetml.queryTable+xml"/>
  <Override PartName="/xl/queryTables/queryTable1236.xml" ContentType="application/vnd.openxmlformats-officedocument.spreadsheetml.queryTable+xml"/>
  <Override PartName="/xl/queryTables/queryTable1237.xml" ContentType="application/vnd.openxmlformats-officedocument.spreadsheetml.queryTable+xml"/>
  <Override PartName="/xl/queryTables/queryTable1238.xml" ContentType="application/vnd.openxmlformats-officedocument.spreadsheetml.queryTable+xml"/>
  <Override PartName="/xl/queryTables/queryTable1239.xml" ContentType="application/vnd.openxmlformats-officedocument.spreadsheetml.queryTable+xml"/>
  <Override PartName="/xl/queryTables/queryTable1240.xml" ContentType="application/vnd.openxmlformats-officedocument.spreadsheetml.queryTable+xml"/>
  <Override PartName="/xl/queryTables/queryTable1241.xml" ContentType="application/vnd.openxmlformats-officedocument.spreadsheetml.queryTable+xml"/>
  <Override PartName="/xl/queryTables/queryTable1242.xml" ContentType="application/vnd.openxmlformats-officedocument.spreadsheetml.queryTable+xml"/>
  <Override PartName="/xl/queryTables/queryTable1243.xml" ContentType="application/vnd.openxmlformats-officedocument.spreadsheetml.queryTable+xml"/>
  <Override PartName="/xl/queryTables/queryTable1244.xml" ContentType="application/vnd.openxmlformats-officedocument.spreadsheetml.queryTable+xml"/>
  <Override PartName="/xl/queryTables/queryTable1245.xml" ContentType="application/vnd.openxmlformats-officedocument.spreadsheetml.queryTable+xml"/>
  <Override PartName="/xl/queryTables/queryTable1246.xml" ContentType="application/vnd.openxmlformats-officedocument.spreadsheetml.queryTable+xml"/>
  <Override PartName="/xl/queryTables/queryTable1247.xml" ContentType="application/vnd.openxmlformats-officedocument.spreadsheetml.queryTable+xml"/>
  <Override PartName="/xl/queryTables/queryTable1248.xml" ContentType="application/vnd.openxmlformats-officedocument.spreadsheetml.queryTable+xml"/>
  <Override PartName="/xl/queryTables/queryTable1249.xml" ContentType="application/vnd.openxmlformats-officedocument.spreadsheetml.queryTable+xml"/>
  <Override PartName="/xl/queryTables/queryTable1250.xml" ContentType="application/vnd.openxmlformats-officedocument.spreadsheetml.queryTable+xml"/>
  <Override PartName="/xl/queryTables/queryTable1251.xml" ContentType="application/vnd.openxmlformats-officedocument.spreadsheetml.queryTable+xml"/>
  <Override PartName="/xl/queryTables/queryTable1252.xml" ContentType="application/vnd.openxmlformats-officedocument.spreadsheetml.queryTable+xml"/>
  <Override PartName="/xl/queryTables/queryTable1253.xml" ContentType="application/vnd.openxmlformats-officedocument.spreadsheetml.queryTable+xml"/>
  <Override PartName="/xl/queryTables/queryTable1254.xml" ContentType="application/vnd.openxmlformats-officedocument.spreadsheetml.queryTable+xml"/>
  <Override PartName="/xl/queryTables/queryTable1255.xml" ContentType="application/vnd.openxmlformats-officedocument.spreadsheetml.queryTable+xml"/>
  <Override PartName="/xl/queryTables/queryTable1256.xml" ContentType="application/vnd.openxmlformats-officedocument.spreadsheetml.queryTable+xml"/>
  <Override PartName="/xl/queryTables/queryTable1257.xml" ContentType="application/vnd.openxmlformats-officedocument.spreadsheetml.queryTable+xml"/>
  <Override PartName="/xl/queryTables/queryTable1258.xml" ContentType="application/vnd.openxmlformats-officedocument.spreadsheetml.queryTable+xml"/>
  <Override PartName="/xl/queryTables/queryTable1259.xml" ContentType="application/vnd.openxmlformats-officedocument.spreadsheetml.queryTable+xml"/>
  <Override PartName="/xl/queryTables/queryTable1260.xml" ContentType="application/vnd.openxmlformats-officedocument.spreadsheetml.queryTable+xml"/>
  <Override PartName="/xl/queryTables/queryTable1261.xml" ContentType="application/vnd.openxmlformats-officedocument.spreadsheetml.queryTable+xml"/>
  <Override PartName="/xl/queryTables/queryTable1262.xml" ContentType="application/vnd.openxmlformats-officedocument.spreadsheetml.queryTable+xml"/>
  <Override PartName="/xl/queryTables/queryTable1263.xml" ContentType="application/vnd.openxmlformats-officedocument.spreadsheetml.queryTable+xml"/>
  <Override PartName="/xl/queryTables/queryTable1264.xml" ContentType="application/vnd.openxmlformats-officedocument.spreadsheetml.queryTable+xml"/>
  <Override PartName="/xl/queryTables/queryTable1265.xml" ContentType="application/vnd.openxmlformats-officedocument.spreadsheetml.queryTable+xml"/>
  <Override PartName="/xl/queryTables/queryTable1266.xml" ContentType="application/vnd.openxmlformats-officedocument.spreadsheetml.queryTable+xml"/>
  <Override PartName="/xl/queryTables/queryTable1267.xml" ContentType="application/vnd.openxmlformats-officedocument.spreadsheetml.queryTable+xml"/>
  <Override PartName="/xl/queryTables/queryTable1268.xml" ContentType="application/vnd.openxmlformats-officedocument.spreadsheetml.queryTable+xml"/>
  <Override PartName="/xl/queryTables/queryTable1269.xml" ContentType="application/vnd.openxmlformats-officedocument.spreadsheetml.queryTable+xml"/>
  <Override PartName="/xl/queryTables/queryTable1270.xml" ContentType="application/vnd.openxmlformats-officedocument.spreadsheetml.queryTable+xml"/>
  <Override PartName="/xl/queryTables/queryTable1271.xml" ContentType="application/vnd.openxmlformats-officedocument.spreadsheetml.queryTable+xml"/>
  <Override PartName="/xl/queryTables/queryTable1272.xml" ContentType="application/vnd.openxmlformats-officedocument.spreadsheetml.queryTable+xml"/>
  <Override PartName="/xl/queryTables/queryTable1273.xml" ContentType="application/vnd.openxmlformats-officedocument.spreadsheetml.queryTable+xml"/>
  <Override PartName="/xl/queryTables/queryTable1274.xml" ContentType="application/vnd.openxmlformats-officedocument.spreadsheetml.queryTable+xml"/>
  <Override PartName="/xl/queryTables/queryTable1275.xml" ContentType="application/vnd.openxmlformats-officedocument.spreadsheetml.queryTable+xml"/>
  <Override PartName="/xl/queryTables/queryTable1276.xml" ContentType="application/vnd.openxmlformats-officedocument.spreadsheetml.queryTable+xml"/>
  <Override PartName="/xl/queryTables/queryTable1277.xml" ContentType="application/vnd.openxmlformats-officedocument.spreadsheetml.queryTable+xml"/>
  <Override PartName="/xl/queryTables/queryTable1278.xml" ContentType="application/vnd.openxmlformats-officedocument.spreadsheetml.queryTable+xml"/>
  <Override PartName="/xl/queryTables/queryTable1279.xml" ContentType="application/vnd.openxmlformats-officedocument.spreadsheetml.queryTable+xml"/>
  <Override PartName="/xl/queryTables/queryTable1280.xml" ContentType="application/vnd.openxmlformats-officedocument.spreadsheetml.queryTable+xml"/>
  <Override PartName="/xl/queryTables/queryTable1281.xml" ContentType="application/vnd.openxmlformats-officedocument.spreadsheetml.queryTable+xml"/>
  <Override PartName="/xl/queryTables/queryTable1282.xml" ContentType="application/vnd.openxmlformats-officedocument.spreadsheetml.queryTable+xml"/>
  <Override PartName="/xl/queryTables/queryTable1283.xml" ContentType="application/vnd.openxmlformats-officedocument.spreadsheetml.queryTable+xml"/>
  <Override PartName="/xl/queryTables/queryTable1284.xml" ContentType="application/vnd.openxmlformats-officedocument.spreadsheetml.queryTable+xml"/>
  <Override PartName="/xl/queryTables/queryTable1285.xml" ContentType="application/vnd.openxmlformats-officedocument.spreadsheetml.queryTable+xml"/>
  <Override PartName="/xl/queryTables/queryTable1286.xml" ContentType="application/vnd.openxmlformats-officedocument.spreadsheetml.queryTable+xml"/>
  <Override PartName="/xl/queryTables/queryTable1287.xml" ContentType="application/vnd.openxmlformats-officedocument.spreadsheetml.queryTable+xml"/>
  <Override PartName="/xl/queryTables/queryTable1288.xml" ContentType="application/vnd.openxmlformats-officedocument.spreadsheetml.queryTable+xml"/>
  <Override PartName="/xl/queryTables/queryTable1289.xml" ContentType="application/vnd.openxmlformats-officedocument.spreadsheetml.queryTable+xml"/>
  <Override PartName="/xl/queryTables/queryTable1290.xml" ContentType="application/vnd.openxmlformats-officedocument.spreadsheetml.queryTable+xml"/>
  <Override PartName="/xl/queryTables/queryTable1291.xml" ContentType="application/vnd.openxmlformats-officedocument.spreadsheetml.queryTable+xml"/>
  <Override PartName="/xl/queryTables/queryTable1292.xml" ContentType="application/vnd.openxmlformats-officedocument.spreadsheetml.queryTable+xml"/>
  <Override PartName="/xl/queryTables/queryTable1293.xml" ContentType="application/vnd.openxmlformats-officedocument.spreadsheetml.queryTable+xml"/>
  <Override PartName="/xl/queryTables/queryTable1294.xml" ContentType="application/vnd.openxmlformats-officedocument.spreadsheetml.queryTable+xml"/>
  <Override PartName="/xl/queryTables/queryTable1295.xml" ContentType="application/vnd.openxmlformats-officedocument.spreadsheetml.queryTable+xml"/>
  <Override PartName="/xl/queryTables/queryTable1296.xml" ContentType="application/vnd.openxmlformats-officedocument.spreadsheetml.queryTable+xml"/>
  <Override PartName="/xl/queryTables/queryTable1297.xml" ContentType="application/vnd.openxmlformats-officedocument.spreadsheetml.queryTable+xml"/>
  <Override PartName="/xl/queryTables/queryTable1298.xml" ContentType="application/vnd.openxmlformats-officedocument.spreadsheetml.queryTable+xml"/>
  <Override PartName="/xl/queryTables/queryTable1299.xml" ContentType="application/vnd.openxmlformats-officedocument.spreadsheetml.queryTable+xml"/>
  <Override PartName="/xl/queryTables/queryTable1300.xml" ContentType="application/vnd.openxmlformats-officedocument.spreadsheetml.queryTable+xml"/>
  <Override PartName="/xl/queryTables/queryTable1301.xml" ContentType="application/vnd.openxmlformats-officedocument.spreadsheetml.queryTable+xml"/>
  <Override PartName="/xl/queryTables/queryTable1302.xml" ContentType="application/vnd.openxmlformats-officedocument.spreadsheetml.queryTable+xml"/>
  <Override PartName="/xl/queryTables/queryTable1303.xml" ContentType="application/vnd.openxmlformats-officedocument.spreadsheetml.queryTable+xml"/>
  <Override PartName="/xl/queryTables/queryTable1304.xml" ContentType="application/vnd.openxmlformats-officedocument.spreadsheetml.queryTable+xml"/>
  <Override PartName="/xl/queryTables/queryTable1305.xml" ContentType="application/vnd.openxmlformats-officedocument.spreadsheetml.queryTable+xml"/>
  <Override PartName="/xl/queryTables/queryTable1306.xml" ContentType="application/vnd.openxmlformats-officedocument.spreadsheetml.queryTable+xml"/>
  <Override PartName="/xl/queryTables/queryTable1307.xml" ContentType="application/vnd.openxmlformats-officedocument.spreadsheetml.queryTable+xml"/>
  <Override PartName="/xl/queryTables/queryTable1308.xml" ContentType="application/vnd.openxmlformats-officedocument.spreadsheetml.queryTable+xml"/>
  <Override PartName="/xl/queryTables/queryTable1309.xml" ContentType="application/vnd.openxmlformats-officedocument.spreadsheetml.queryTable+xml"/>
  <Override PartName="/xl/queryTables/queryTable1310.xml" ContentType="application/vnd.openxmlformats-officedocument.spreadsheetml.queryTable+xml"/>
  <Override PartName="/xl/queryTables/queryTable1311.xml" ContentType="application/vnd.openxmlformats-officedocument.spreadsheetml.queryTable+xml"/>
  <Override PartName="/xl/queryTables/queryTable1312.xml" ContentType="application/vnd.openxmlformats-officedocument.spreadsheetml.queryTable+xml"/>
  <Override PartName="/xl/queryTables/queryTable1313.xml" ContentType="application/vnd.openxmlformats-officedocument.spreadsheetml.queryTable+xml"/>
  <Override PartName="/xl/queryTables/queryTable1314.xml" ContentType="application/vnd.openxmlformats-officedocument.spreadsheetml.queryTable+xml"/>
  <Override PartName="/xl/queryTables/queryTable1315.xml" ContentType="application/vnd.openxmlformats-officedocument.spreadsheetml.queryTable+xml"/>
  <Override PartName="/xl/queryTables/queryTable1316.xml" ContentType="application/vnd.openxmlformats-officedocument.spreadsheetml.queryTable+xml"/>
  <Override PartName="/xl/queryTables/queryTable1317.xml" ContentType="application/vnd.openxmlformats-officedocument.spreadsheetml.queryTable+xml"/>
  <Override PartName="/xl/queryTables/queryTable1318.xml" ContentType="application/vnd.openxmlformats-officedocument.spreadsheetml.queryTable+xml"/>
  <Override PartName="/xl/queryTables/queryTable1319.xml" ContentType="application/vnd.openxmlformats-officedocument.spreadsheetml.queryTable+xml"/>
  <Override PartName="/xl/queryTables/queryTable1320.xml" ContentType="application/vnd.openxmlformats-officedocument.spreadsheetml.queryTable+xml"/>
  <Override PartName="/xl/queryTables/queryTable1321.xml" ContentType="application/vnd.openxmlformats-officedocument.spreadsheetml.queryTable+xml"/>
  <Override PartName="/xl/queryTables/queryTable1322.xml" ContentType="application/vnd.openxmlformats-officedocument.spreadsheetml.queryTable+xml"/>
  <Override PartName="/xl/queryTables/queryTable1323.xml" ContentType="application/vnd.openxmlformats-officedocument.spreadsheetml.queryTable+xml"/>
  <Override PartName="/xl/queryTables/queryTable1324.xml" ContentType="application/vnd.openxmlformats-officedocument.spreadsheetml.queryTable+xml"/>
  <Override PartName="/xl/queryTables/queryTable1325.xml" ContentType="application/vnd.openxmlformats-officedocument.spreadsheetml.queryTable+xml"/>
  <Override PartName="/xl/queryTables/queryTable1326.xml" ContentType="application/vnd.openxmlformats-officedocument.spreadsheetml.queryTable+xml"/>
  <Override PartName="/xl/queryTables/queryTable1327.xml" ContentType="application/vnd.openxmlformats-officedocument.spreadsheetml.queryTable+xml"/>
  <Override PartName="/xl/queryTables/queryTable1328.xml" ContentType="application/vnd.openxmlformats-officedocument.spreadsheetml.queryTable+xml"/>
  <Override PartName="/xl/queryTables/queryTable1329.xml" ContentType="application/vnd.openxmlformats-officedocument.spreadsheetml.queryTable+xml"/>
  <Override PartName="/xl/queryTables/queryTable1330.xml" ContentType="application/vnd.openxmlformats-officedocument.spreadsheetml.queryTable+xml"/>
  <Override PartName="/xl/queryTables/queryTable1331.xml" ContentType="application/vnd.openxmlformats-officedocument.spreadsheetml.queryTable+xml"/>
  <Override PartName="/xl/queryTables/queryTable1332.xml" ContentType="application/vnd.openxmlformats-officedocument.spreadsheetml.queryTable+xml"/>
  <Override PartName="/xl/queryTables/queryTable1333.xml" ContentType="application/vnd.openxmlformats-officedocument.spreadsheetml.queryTable+xml"/>
  <Override PartName="/xl/queryTables/queryTable1334.xml" ContentType="application/vnd.openxmlformats-officedocument.spreadsheetml.queryTable+xml"/>
  <Override PartName="/xl/queryTables/queryTable1335.xml" ContentType="application/vnd.openxmlformats-officedocument.spreadsheetml.queryTable+xml"/>
  <Override PartName="/xl/queryTables/queryTable1336.xml" ContentType="application/vnd.openxmlformats-officedocument.spreadsheetml.queryTable+xml"/>
  <Override PartName="/xl/queryTables/queryTable1337.xml" ContentType="application/vnd.openxmlformats-officedocument.spreadsheetml.queryTable+xml"/>
  <Override PartName="/xl/queryTables/queryTable1338.xml" ContentType="application/vnd.openxmlformats-officedocument.spreadsheetml.queryTable+xml"/>
  <Override PartName="/xl/queryTables/queryTable1339.xml" ContentType="application/vnd.openxmlformats-officedocument.spreadsheetml.queryTable+xml"/>
  <Override PartName="/xl/queryTables/queryTable1340.xml" ContentType="application/vnd.openxmlformats-officedocument.spreadsheetml.queryTable+xml"/>
  <Override PartName="/xl/queryTables/queryTable1341.xml" ContentType="application/vnd.openxmlformats-officedocument.spreadsheetml.queryTable+xml"/>
  <Override PartName="/xl/queryTables/queryTable1342.xml" ContentType="application/vnd.openxmlformats-officedocument.spreadsheetml.queryTable+xml"/>
  <Override PartName="/xl/queryTables/queryTable1343.xml" ContentType="application/vnd.openxmlformats-officedocument.spreadsheetml.queryTable+xml"/>
  <Override PartName="/xl/queryTables/queryTable1344.xml" ContentType="application/vnd.openxmlformats-officedocument.spreadsheetml.queryTable+xml"/>
  <Override PartName="/xl/queryTables/queryTable1345.xml" ContentType="application/vnd.openxmlformats-officedocument.spreadsheetml.queryTable+xml"/>
  <Override PartName="/xl/queryTables/queryTable1346.xml" ContentType="application/vnd.openxmlformats-officedocument.spreadsheetml.queryTable+xml"/>
  <Override PartName="/xl/queryTables/queryTable1347.xml" ContentType="application/vnd.openxmlformats-officedocument.spreadsheetml.queryTable+xml"/>
  <Override PartName="/xl/queryTables/queryTable1348.xml" ContentType="application/vnd.openxmlformats-officedocument.spreadsheetml.queryTable+xml"/>
  <Override PartName="/xl/queryTables/queryTable1349.xml" ContentType="application/vnd.openxmlformats-officedocument.spreadsheetml.queryTable+xml"/>
  <Override PartName="/xl/queryTables/queryTable1350.xml" ContentType="application/vnd.openxmlformats-officedocument.spreadsheetml.queryTable+xml"/>
  <Override PartName="/xl/queryTables/queryTable1351.xml" ContentType="application/vnd.openxmlformats-officedocument.spreadsheetml.queryTable+xml"/>
  <Override PartName="/xl/queryTables/queryTable1352.xml" ContentType="application/vnd.openxmlformats-officedocument.spreadsheetml.queryTable+xml"/>
  <Override PartName="/xl/queryTables/queryTable1353.xml" ContentType="application/vnd.openxmlformats-officedocument.spreadsheetml.queryTable+xml"/>
  <Override PartName="/xl/queryTables/queryTable1354.xml" ContentType="application/vnd.openxmlformats-officedocument.spreadsheetml.queryTable+xml"/>
  <Override PartName="/xl/queryTables/queryTable1355.xml" ContentType="application/vnd.openxmlformats-officedocument.spreadsheetml.queryTable+xml"/>
  <Override PartName="/xl/queryTables/queryTable1356.xml" ContentType="application/vnd.openxmlformats-officedocument.spreadsheetml.queryTable+xml"/>
  <Override PartName="/xl/queryTables/queryTable1357.xml" ContentType="application/vnd.openxmlformats-officedocument.spreadsheetml.queryTable+xml"/>
  <Override PartName="/xl/queryTables/queryTable1358.xml" ContentType="application/vnd.openxmlformats-officedocument.spreadsheetml.queryTable+xml"/>
  <Override PartName="/xl/queryTables/queryTable1359.xml" ContentType="application/vnd.openxmlformats-officedocument.spreadsheetml.queryTable+xml"/>
  <Override PartName="/xl/queryTables/queryTable1360.xml" ContentType="application/vnd.openxmlformats-officedocument.spreadsheetml.queryTable+xml"/>
  <Override PartName="/xl/queryTables/queryTable1361.xml" ContentType="application/vnd.openxmlformats-officedocument.spreadsheetml.queryTable+xml"/>
  <Override PartName="/xl/queryTables/queryTable1362.xml" ContentType="application/vnd.openxmlformats-officedocument.spreadsheetml.queryTable+xml"/>
  <Override PartName="/xl/queryTables/queryTable1363.xml" ContentType="application/vnd.openxmlformats-officedocument.spreadsheetml.queryTable+xml"/>
  <Override PartName="/xl/queryTables/queryTable1364.xml" ContentType="application/vnd.openxmlformats-officedocument.spreadsheetml.queryTable+xml"/>
  <Override PartName="/xl/queryTables/queryTable1365.xml" ContentType="application/vnd.openxmlformats-officedocument.spreadsheetml.queryTable+xml"/>
  <Override PartName="/xl/queryTables/queryTable1366.xml" ContentType="application/vnd.openxmlformats-officedocument.spreadsheetml.queryTable+xml"/>
  <Override PartName="/xl/queryTables/queryTable1367.xml" ContentType="application/vnd.openxmlformats-officedocument.spreadsheetml.queryTable+xml"/>
  <Override PartName="/xl/queryTables/queryTable1368.xml" ContentType="application/vnd.openxmlformats-officedocument.spreadsheetml.queryTable+xml"/>
  <Override PartName="/xl/queryTables/queryTable1369.xml" ContentType="application/vnd.openxmlformats-officedocument.spreadsheetml.queryTable+xml"/>
  <Override PartName="/xl/queryTables/queryTable1370.xml" ContentType="application/vnd.openxmlformats-officedocument.spreadsheetml.queryTable+xml"/>
  <Override PartName="/xl/queryTables/queryTable1371.xml" ContentType="application/vnd.openxmlformats-officedocument.spreadsheetml.queryTable+xml"/>
  <Override PartName="/xl/queryTables/queryTable1372.xml" ContentType="application/vnd.openxmlformats-officedocument.spreadsheetml.queryTable+xml"/>
  <Override PartName="/xl/queryTables/queryTable1373.xml" ContentType="application/vnd.openxmlformats-officedocument.spreadsheetml.queryTable+xml"/>
  <Override PartName="/xl/queryTables/queryTable1374.xml" ContentType="application/vnd.openxmlformats-officedocument.spreadsheetml.queryTable+xml"/>
  <Override PartName="/xl/queryTables/queryTable1375.xml" ContentType="application/vnd.openxmlformats-officedocument.spreadsheetml.queryTable+xml"/>
  <Override PartName="/xl/queryTables/queryTable1376.xml" ContentType="application/vnd.openxmlformats-officedocument.spreadsheetml.queryTable+xml"/>
  <Override PartName="/xl/queryTables/queryTable1377.xml" ContentType="application/vnd.openxmlformats-officedocument.spreadsheetml.queryTable+xml"/>
  <Override PartName="/xl/queryTables/queryTable1378.xml" ContentType="application/vnd.openxmlformats-officedocument.spreadsheetml.queryTable+xml"/>
  <Override PartName="/xl/queryTables/queryTable1379.xml" ContentType="application/vnd.openxmlformats-officedocument.spreadsheetml.queryTable+xml"/>
  <Override PartName="/xl/queryTables/queryTable1380.xml" ContentType="application/vnd.openxmlformats-officedocument.spreadsheetml.queryTable+xml"/>
  <Override PartName="/xl/queryTables/queryTable1381.xml" ContentType="application/vnd.openxmlformats-officedocument.spreadsheetml.queryTable+xml"/>
  <Override PartName="/xl/queryTables/queryTable1382.xml" ContentType="application/vnd.openxmlformats-officedocument.spreadsheetml.queryTable+xml"/>
  <Override PartName="/xl/queryTables/queryTable1383.xml" ContentType="application/vnd.openxmlformats-officedocument.spreadsheetml.queryTable+xml"/>
  <Override PartName="/xl/queryTables/queryTable1384.xml" ContentType="application/vnd.openxmlformats-officedocument.spreadsheetml.queryTable+xml"/>
  <Override PartName="/xl/queryTables/queryTable1385.xml" ContentType="application/vnd.openxmlformats-officedocument.spreadsheetml.queryTable+xml"/>
  <Override PartName="/xl/queryTables/queryTable1386.xml" ContentType="application/vnd.openxmlformats-officedocument.spreadsheetml.queryTable+xml"/>
  <Override PartName="/xl/queryTables/queryTable1387.xml" ContentType="application/vnd.openxmlformats-officedocument.spreadsheetml.queryTable+xml"/>
  <Override PartName="/xl/queryTables/queryTable1388.xml" ContentType="application/vnd.openxmlformats-officedocument.spreadsheetml.queryTable+xml"/>
  <Override PartName="/xl/queryTables/queryTable1389.xml" ContentType="application/vnd.openxmlformats-officedocument.spreadsheetml.queryTable+xml"/>
  <Override PartName="/xl/queryTables/queryTable1390.xml" ContentType="application/vnd.openxmlformats-officedocument.spreadsheetml.queryTable+xml"/>
  <Override PartName="/xl/queryTables/queryTable1391.xml" ContentType="application/vnd.openxmlformats-officedocument.spreadsheetml.queryTable+xml"/>
  <Override PartName="/xl/queryTables/queryTable1392.xml" ContentType="application/vnd.openxmlformats-officedocument.spreadsheetml.queryTable+xml"/>
  <Override PartName="/xl/queryTables/queryTable1393.xml" ContentType="application/vnd.openxmlformats-officedocument.spreadsheetml.queryTable+xml"/>
  <Override PartName="/xl/queryTables/queryTable1394.xml" ContentType="application/vnd.openxmlformats-officedocument.spreadsheetml.queryTable+xml"/>
  <Override PartName="/xl/queryTables/queryTable1395.xml" ContentType="application/vnd.openxmlformats-officedocument.spreadsheetml.queryTable+xml"/>
  <Override PartName="/xl/queryTables/queryTable1396.xml" ContentType="application/vnd.openxmlformats-officedocument.spreadsheetml.queryTable+xml"/>
  <Override PartName="/xl/queryTables/queryTable1397.xml" ContentType="application/vnd.openxmlformats-officedocument.spreadsheetml.queryTable+xml"/>
  <Override PartName="/xl/queryTables/queryTable1398.xml" ContentType="application/vnd.openxmlformats-officedocument.spreadsheetml.queryTable+xml"/>
  <Override PartName="/xl/queryTables/queryTable1399.xml" ContentType="application/vnd.openxmlformats-officedocument.spreadsheetml.queryTable+xml"/>
  <Override PartName="/xl/queryTables/queryTable1400.xml" ContentType="application/vnd.openxmlformats-officedocument.spreadsheetml.queryTable+xml"/>
  <Override PartName="/xl/queryTables/queryTable1401.xml" ContentType="application/vnd.openxmlformats-officedocument.spreadsheetml.queryTable+xml"/>
  <Override PartName="/xl/queryTables/queryTable1402.xml" ContentType="application/vnd.openxmlformats-officedocument.spreadsheetml.queryTable+xml"/>
  <Override PartName="/xl/queryTables/queryTable1403.xml" ContentType="application/vnd.openxmlformats-officedocument.spreadsheetml.queryTable+xml"/>
  <Override PartName="/xl/queryTables/queryTable1404.xml" ContentType="application/vnd.openxmlformats-officedocument.spreadsheetml.queryTable+xml"/>
  <Override PartName="/xl/queryTables/queryTable1405.xml" ContentType="application/vnd.openxmlformats-officedocument.spreadsheetml.queryTable+xml"/>
  <Override PartName="/xl/queryTables/queryTable1406.xml" ContentType="application/vnd.openxmlformats-officedocument.spreadsheetml.queryTable+xml"/>
  <Override PartName="/xl/queryTables/queryTable1407.xml" ContentType="application/vnd.openxmlformats-officedocument.spreadsheetml.queryTable+xml"/>
  <Override PartName="/xl/queryTables/queryTable1408.xml" ContentType="application/vnd.openxmlformats-officedocument.spreadsheetml.queryTable+xml"/>
  <Override PartName="/xl/queryTables/queryTable1409.xml" ContentType="application/vnd.openxmlformats-officedocument.spreadsheetml.queryTable+xml"/>
  <Override PartName="/xl/queryTables/queryTable1410.xml" ContentType="application/vnd.openxmlformats-officedocument.spreadsheetml.queryTable+xml"/>
  <Override PartName="/xl/queryTables/queryTable1411.xml" ContentType="application/vnd.openxmlformats-officedocument.spreadsheetml.queryTable+xml"/>
  <Override PartName="/xl/queryTables/queryTable1412.xml" ContentType="application/vnd.openxmlformats-officedocument.spreadsheetml.queryTable+xml"/>
  <Override PartName="/xl/queryTables/queryTable1413.xml" ContentType="application/vnd.openxmlformats-officedocument.spreadsheetml.queryTable+xml"/>
  <Override PartName="/xl/queryTables/queryTable1414.xml" ContentType="application/vnd.openxmlformats-officedocument.spreadsheetml.queryTable+xml"/>
  <Override PartName="/xl/queryTables/queryTable1415.xml" ContentType="application/vnd.openxmlformats-officedocument.spreadsheetml.queryTable+xml"/>
  <Override PartName="/xl/queryTables/queryTable1416.xml" ContentType="application/vnd.openxmlformats-officedocument.spreadsheetml.queryTable+xml"/>
  <Override PartName="/xl/queryTables/queryTable1417.xml" ContentType="application/vnd.openxmlformats-officedocument.spreadsheetml.queryTable+xml"/>
  <Override PartName="/xl/queryTables/queryTable1418.xml" ContentType="application/vnd.openxmlformats-officedocument.spreadsheetml.queryTable+xml"/>
  <Override PartName="/xl/queryTables/queryTable1419.xml" ContentType="application/vnd.openxmlformats-officedocument.spreadsheetml.queryTable+xml"/>
  <Override PartName="/xl/queryTables/queryTable1420.xml" ContentType="application/vnd.openxmlformats-officedocument.spreadsheetml.queryTable+xml"/>
  <Override PartName="/xl/queryTables/queryTable1421.xml" ContentType="application/vnd.openxmlformats-officedocument.spreadsheetml.queryTable+xml"/>
  <Override PartName="/xl/queryTables/queryTable1422.xml" ContentType="application/vnd.openxmlformats-officedocument.spreadsheetml.queryTable+xml"/>
  <Override PartName="/xl/queryTables/queryTable1423.xml" ContentType="application/vnd.openxmlformats-officedocument.spreadsheetml.queryTable+xml"/>
  <Override PartName="/xl/queryTables/queryTable1424.xml" ContentType="application/vnd.openxmlformats-officedocument.spreadsheetml.queryTable+xml"/>
  <Override PartName="/xl/queryTables/queryTable1425.xml" ContentType="application/vnd.openxmlformats-officedocument.spreadsheetml.queryTable+xml"/>
  <Override PartName="/xl/queryTables/queryTable1426.xml" ContentType="application/vnd.openxmlformats-officedocument.spreadsheetml.queryTable+xml"/>
  <Override PartName="/xl/queryTables/queryTable1427.xml" ContentType="application/vnd.openxmlformats-officedocument.spreadsheetml.queryTable+xml"/>
  <Override PartName="/xl/queryTables/queryTable1428.xml" ContentType="application/vnd.openxmlformats-officedocument.spreadsheetml.queryTable+xml"/>
  <Override PartName="/xl/queryTables/queryTable1429.xml" ContentType="application/vnd.openxmlformats-officedocument.spreadsheetml.queryTable+xml"/>
  <Override PartName="/xl/queryTables/queryTable1430.xml" ContentType="application/vnd.openxmlformats-officedocument.spreadsheetml.queryTable+xml"/>
  <Override PartName="/xl/queryTables/queryTable1431.xml" ContentType="application/vnd.openxmlformats-officedocument.spreadsheetml.queryTable+xml"/>
  <Override PartName="/xl/queryTables/queryTable1432.xml" ContentType="application/vnd.openxmlformats-officedocument.spreadsheetml.queryTable+xml"/>
  <Override PartName="/xl/queryTables/queryTable1433.xml" ContentType="application/vnd.openxmlformats-officedocument.spreadsheetml.queryTable+xml"/>
  <Override PartName="/xl/queryTables/queryTable1434.xml" ContentType="application/vnd.openxmlformats-officedocument.spreadsheetml.queryTable+xml"/>
  <Override PartName="/xl/queryTables/queryTable1435.xml" ContentType="application/vnd.openxmlformats-officedocument.spreadsheetml.queryTable+xml"/>
  <Override PartName="/xl/queryTables/queryTable1436.xml" ContentType="application/vnd.openxmlformats-officedocument.spreadsheetml.queryTable+xml"/>
  <Override PartName="/xl/queryTables/queryTable1437.xml" ContentType="application/vnd.openxmlformats-officedocument.spreadsheetml.queryTable+xml"/>
  <Override PartName="/xl/queryTables/queryTable1438.xml" ContentType="application/vnd.openxmlformats-officedocument.spreadsheetml.queryTable+xml"/>
  <Override PartName="/xl/queryTables/queryTable1439.xml" ContentType="application/vnd.openxmlformats-officedocument.spreadsheetml.queryTable+xml"/>
  <Override PartName="/xl/queryTables/queryTable1440.xml" ContentType="application/vnd.openxmlformats-officedocument.spreadsheetml.queryTable+xml"/>
  <Override PartName="/xl/queryTables/queryTable1441.xml" ContentType="application/vnd.openxmlformats-officedocument.spreadsheetml.queryTable+xml"/>
  <Override PartName="/xl/queryTables/queryTable1442.xml" ContentType="application/vnd.openxmlformats-officedocument.spreadsheetml.queryTable+xml"/>
  <Override PartName="/xl/queryTables/queryTable1443.xml" ContentType="application/vnd.openxmlformats-officedocument.spreadsheetml.queryTable+xml"/>
  <Override PartName="/xl/queryTables/queryTable1444.xml" ContentType="application/vnd.openxmlformats-officedocument.spreadsheetml.queryTable+xml"/>
  <Override PartName="/xl/queryTables/queryTable1445.xml" ContentType="application/vnd.openxmlformats-officedocument.spreadsheetml.queryTable+xml"/>
  <Override PartName="/xl/queryTables/queryTable1446.xml" ContentType="application/vnd.openxmlformats-officedocument.spreadsheetml.queryTable+xml"/>
  <Override PartName="/xl/queryTables/queryTable1447.xml" ContentType="application/vnd.openxmlformats-officedocument.spreadsheetml.queryTable+xml"/>
  <Override PartName="/xl/queryTables/queryTable1448.xml" ContentType="application/vnd.openxmlformats-officedocument.spreadsheetml.queryTable+xml"/>
  <Override PartName="/xl/queryTables/queryTable1449.xml" ContentType="application/vnd.openxmlformats-officedocument.spreadsheetml.queryTable+xml"/>
  <Override PartName="/xl/queryTables/queryTable1450.xml" ContentType="application/vnd.openxmlformats-officedocument.spreadsheetml.queryTable+xml"/>
  <Override PartName="/xl/queryTables/queryTable1451.xml" ContentType="application/vnd.openxmlformats-officedocument.spreadsheetml.queryTable+xml"/>
  <Override PartName="/xl/queryTables/queryTable1452.xml" ContentType="application/vnd.openxmlformats-officedocument.spreadsheetml.queryTable+xml"/>
  <Override PartName="/xl/queryTables/queryTable1453.xml" ContentType="application/vnd.openxmlformats-officedocument.spreadsheetml.queryTable+xml"/>
  <Override PartName="/xl/queryTables/queryTable1454.xml" ContentType="application/vnd.openxmlformats-officedocument.spreadsheetml.queryTable+xml"/>
  <Override PartName="/xl/queryTables/queryTable1455.xml" ContentType="application/vnd.openxmlformats-officedocument.spreadsheetml.queryTable+xml"/>
  <Override PartName="/xl/queryTables/queryTable1456.xml" ContentType="application/vnd.openxmlformats-officedocument.spreadsheetml.queryTable+xml"/>
  <Override PartName="/xl/queryTables/queryTable1457.xml" ContentType="application/vnd.openxmlformats-officedocument.spreadsheetml.queryTable+xml"/>
  <Override PartName="/xl/queryTables/queryTable1458.xml" ContentType="application/vnd.openxmlformats-officedocument.spreadsheetml.queryTable+xml"/>
  <Override PartName="/xl/queryTables/queryTable1459.xml" ContentType="application/vnd.openxmlformats-officedocument.spreadsheetml.queryTable+xml"/>
  <Override PartName="/xl/queryTables/queryTable1460.xml" ContentType="application/vnd.openxmlformats-officedocument.spreadsheetml.queryTable+xml"/>
  <Override PartName="/xl/queryTables/queryTable1461.xml" ContentType="application/vnd.openxmlformats-officedocument.spreadsheetml.queryTable+xml"/>
  <Override PartName="/xl/queryTables/queryTable1462.xml" ContentType="application/vnd.openxmlformats-officedocument.spreadsheetml.queryTable+xml"/>
  <Override PartName="/xl/queryTables/queryTable1463.xml" ContentType="application/vnd.openxmlformats-officedocument.spreadsheetml.queryTable+xml"/>
  <Override PartName="/xl/queryTables/queryTable1464.xml" ContentType="application/vnd.openxmlformats-officedocument.spreadsheetml.queryTable+xml"/>
  <Override PartName="/xl/queryTables/queryTable1465.xml" ContentType="application/vnd.openxmlformats-officedocument.spreadsheetml.queryTable+xml"/>
  <Override PartName="/xl/queryTables/queryTable1466.xml" ContentType="application/vnd.openxmlformats-officedocument.spreadsheetml.queryTable+xml"/>
  <Override PartName="/xl/queryTables/queryTable1467.xml" ContentType="application/vnd.openxmlformats-officedocument.spreadsheetml.queryTable+xml"/>
  <Override PartName="/xl/queryTables/queryTable1468.xml" ContentType="application/vnd.openxmlformats-officedocument.spreadsheetml.queryTable+xml"/>
  <Override PartName="/xl/queryTables/queryTable1469.xml" ContentType="application/vnd.openxmlformats-officedocument.spreadsheetml.queryTable+xml"/>
  <Override PartName="/xl/queryTables/queryTable1470.xml" ContentType="application/vnd.openxmlformats-officedocument.spreadsheetml.queryTable+xml"/>
  <Override PartName="/xl/queryTables/queryTable1471.xml" ContentType="application/vnd.openxmlformats-officedocument.spreadsheetml.queryTable+xml"/>
  <Override PartName="/xl/queryTables/queryTable1472.xml" ContentType="application/vnd.openxmlformats-officedocument.spreadsheetml.queryTable+xml"/>
  <Override PartName="/xl/queryTables/queryTable1473.xml" ContentType="application/vnd.openxmlformats-officedocument.spreadsheetml.queryTable+xml"/>
  <Override PartName="/xl/queryTables/queryTable1474.xml" ContentType="application/vnd.openxmlformats-officedocument.spreadsheetml.queryTable+xml"/>
  <Override PartName="/xl/queryTables/queryTable1475.xml" ContentType="application/vnd.openxmlformats-officedocument.spreadsheetml.queryTable+xml"/>
  <Override PartName="/xl/queryTables/queryTable1476.xml" ContentType="application/vnd.openxmlformats-officedocument.spreadsheetml.queryTable+xml"/>
  <Override PartName="/xl/queryTables/queryTable1477.xml" ContentType="application/vnd.openxmlformats-officedocument.spreadsheetml.queryTable+xml"/>
  <Override PartName="/xl/queryTables/queryTable1478.xml" ContentType="application/vnd.openxmlformats-officedocument.spreadsheetml.queryTable+xml"/>
  <Override PartName="/xl/queryTables/queryTable1479.xml" ContentType="application/vnd.openxmlformats-officedocument.spreadsheetml.queryTable+xml"/>
  <Override PartName="/xl/queryTables/queryTable1480.xml" ContentType="application/vnd.openxmlformats-officedocument.spreadsheetml.queryTable+xml"/>
  <Override PartName="/xl/queryTables/queryTable1481.xml" ContentType="application/vnd.openxmlformats-officedocument.spreadsheetml.queryTable+xml"/>
  <Override PartName="/xl/queryTables/queryTable1482.xml" ContentType="application/vnd.openxmlformats-officedocument.spreadsheetml.queryTable+xml"/>
  <Override PartName="/xl/queryTables/queryTable1483.xml" ContentType="application/vnd.openxmlformats-officedocument.spreadsheetml.queryTable+xml"/>
  <Override PartName="/xl/queryTables/queryTable1484.xml" ContentType="application/vnd.openxmlformats-officedocument.spreadsheetml.queryTable+xml"/>
  <Override PartName="/xl/queryTables/queryTable1485.xml" ContentType="application/vnd.openxmlformats-officedocument.spreadsheetml.queryTable+xml"/>
  <Override PartName="/xl/queryTables/queryTable1486.xml" ContentType="application/vnd.openxmlformats-officedocument.spreadsheetml.queryTable+xml"/>
  <Override PartName="/xl/queryTables/queryTable1487.xml" ContentType="application/vnd.openxmlformats-officedocument.spreadsheetml.queryTable+xml"/>
  <Override PartName="/xl/queryTables/queryTable1488.xml" ContentType="application/vnd.openxmlformats-officedocument.spreadsheetml.queryTable+xml"/>
  <Override PartName="/xl/queryTables/queryTable1489.xml" ContentType="application/vnd.openxmlformats-officedocument.spreadsheetml.queryTable+xml"/>
  <Override PartName="/xl/queryTables/queryTable1490.xml" ContentType="application/vnd.openxmlformats-officedocument.spreadsheetml.queryTable+xml"/>
  <Override PartName="/xl/queryTables/queryTable1491.xml" ContentType="application/vnd.openxmlformats-officedocument.spreadsheetml.queryTable+xml"/>
  <Override PartName="/xl/queryTables/queryTable1492.xml" ContentType="application/vnd.openxmlformats-officedocument.spreadsheetml.queryTable+xml"/>
  <Override PartName="/xl/queryTables/queryTable1493.xml" ContentType="application/vnd.openxmlformats-officedocument.spreadsheetml.queryTable+xml"/>
  <Override PartName="/xl/queryTables/queryTable1494.xml" ContentType="application/vnd.openxmlformats-officedocument.spreadsheetml.queryTable+xml"/>
  <Override PartName="/xl/queryTables/queryTable1495.xml" ContentType="application/vnd.openxmlformats-officedocument.spreadsheetml.queryTable+xml"/>
  <Override PartName="/xl/queryTables/queryTable1496.xml" ContentType="application/vnd.openxmlformats-officedocument.spreadsheetml.queryTable+xml"/>
  <Override PartName="/xl/queryTables/queryTable1497.xml" ContentType="application/vnd.openxmlformats-officedocument.spreadsheetml.queryTable+xml"/>
  <Override PartName="/xl/queryTables/queryTable1498.xml" ContentType="application/vnd.openxmlformats-officedocument.spreadsheetml.queryTable+xml"/>
  <Override PartName="/xl/queryTables/queryTable1499.xml" ContentType="application/vnd.openxmlformats-officedocument.spreadsheetml.queryTable+xml"/>
  <Override PartName="/xl/queryTables/queryTable1500.xml" ContentType="application/vnd.openxmlformats-officedocument.spreadsheetml.queryTable+xml"/>
  <Override PartName="/xl/queryTables/queryTable1501.xml" ContentType="application/vnd.openxmlformats-officedocument.spreadsheetml.queryTable+xml"/>
  <Override PartName="/xl/queryTables/queryTable1502.xml" ContentType="application/vnd.openxmlformats-officedocument.spreadsheetml.queryTable+xml"/>
  <Override PartName="/xl/queryTables/queryTable1503.xml" ContentType="application/vnd.openxmlformats-officedocument.spreadsheetml.queryTable+xml"/>
  <Override PartName="/xl/queryTables/queryTable1504.xml" ContentType="application/vnd.openxmlformats-officedocument.spreadsheetml.queryTable+xml"/>
  <Override PartName="/xl/queryTables/queryTable1505.xml" ContentType="application/vnd.openxmlformats-officedocument.spreadsheetml.queryTable+xml"/>
  <Override PartName="/xl/queryTables/queryTable1506.xml" ContentType="application/vnd.openxmlformats-officedocument.spreadsheetml.queryTable+xml"/>
  <Override PartName="/xl/queryTables/queryTable1507.xml" ContentType="application/vnd.openxmlformats-officedocument.spreadsheetml.queryTable+xml"/>
  <Override PartName="/xl/queryTables/queryTable1508.xml" ContentType="application/vnd.openxmlformats-officedocument.spreadsheetml.queryTable+xml"/>
  <Override PartName="/xl/queryTables/queryTable1509.xml" ContentType="application/vnd.openxmlformats-officedocument.spreadsheetml.queryTable+xml"/>
  <Override PartName="/xl/queryTables/queryTable1510.xml" ContentType="application/vnd.openxmlformats-officedocument.spreadsheetml.queryTable+xml"/>
  <Override PartName="/xl/queryTables/queryTable1511.xml" ContentType="application/vnd.openxmlformats-officedocument.spreadsheetml.queryTable+xml"/>
  <Override PartName="/xl/queryTables/queryTable1512.xml" ContentType="application/vnd.openxmlformats-officedocument.spreadsheetml.queryTable+xml"/>
  <Override PartName="/xl/queryTables/queryTable1513.xml" ContentType="application/vnd.openxmlformats-officedocument.spreadsheetml.queryTable+xml"/>
  <Override PartName="/xl/queryTables/queryTable1514.xml" ContentType="application/vnd.openxmlformats-officedocument.spreadsheetml.queryTable+xml"/>
  <Override PartName="/xl/queryTables/queryTable1515.xml" ContentType="application/vnd.openxmlformats-officedocument.spreadsheetml.queryTable+xml"/>
  <Override PartName="/xl/queryTables/queryTable1516.xml" ContentType="application/vnd.openxmlformats-officedocument.spreadsheetml.queryTable+xml"/>
  <Override PartName="/xl/queryTables/queryTable1517.xml" ContentType="application/vnd.openxmlformats-officedocument.spreadsheetml.queryTable+xml"/>
  <Override PartName="/xl/queryTables/queryTable1518.xml" ContentType="application/vnd.openxmlformats-officedocument.spreadsheetml.queryTable+xml"/>
  <Override PartName="/xl/queryTables/queryTable1519.xml" ContentType="application/vnd.openxmlformats-officedocument.spreadsheetml.queryTable+xml"/>
  <Override PartName="/xl/queryTables/queryTable1520.xml" ContentType="application/vnd.openxmlformats-officedocument.spreadsheetml.queryTable+xml"/>
  <Override PartName="/xl/queryTables/queryTable1521.xml" ContentType="application/vnd.openxmlformats-officedocument.spreadsheetml.queryTable+xml"/>
  <Override PartName="/xl/queryTables/queryTable1522.xml" ContentType="application/vnd.openxmlformats-officedocument.spreadsheetml.queryTable+xml"/>
  <Override PartName="/xl/queryTables/queryTable1523.xml" ContentType="application/vnd.openxmlformats-officedocument.spreadsheetml.queryTable+xml"/>
  <Override PartName="/xl/queryTables/queryTable1524.xml" ContentType="application/vnd.openxmlformats-officedocument.spreadsheetml.queryTable+xml"/>
  <Override PartName="/xl/queryTables/queryTable1525.xml" ContentType="application/vnd.openxmlformats-officedocument.spreadsheetml.queryTable+xml"/>
  <Override PartName="/xl/queryTables/queryTable1526.xml" ContentType="application/vnd.openxmlformats-officedocument.spreadsheetml.queryTable+xml"/>
  <Override PartName="/xl/queryTables/queryTable1527.xml" ContentType="application/vnd.openxmlformats-officedocument.spreadsheetml.queryTable+xml"/>
  <Override PartName="/xl/queryTables/queryTable1528.xml" ContentType="application/vnd.openxmlformats-officedocument.spreadsheetml.queryTable+xml"/>
  <Override PartName="/xl/queryTables/queryTable1529.xml" ContentType="application/vnd.openxmlformats-officedocument.spreadsheetml.queryTable+xml"/>
  <Override PartName="/xl/queryTables/queryTable1530.xml" ContentType="application/vnd.openxmlformats-officedocument.spreadsheetml.queryTable+xml"/>
  <Override PartName="/xl/queryTables/queryTable1531.xml" ContentType="application/vnd.openxmlformats-officedocument.spreadsheetml.queryTable+xml"/>
  <Override PartName="/xl/queryTables/queryTable1532.xml" ContentType="application/vnd.openxmlformats-officedocument.spreadsheetml.queryTable+xml"/>
  <Override PartName="/xl/queryTables/queryTable1533.xml" ContentType="application/vnd.openxmlformats-officedocument.spreadsheetml.queryTable+xml"/>
  <Override PartName="/xl/queryTables/queryTable1534.xml" ContentType="application/vnd.openxmlformats-officedocument.spreadsheetml.queryTable+xml"/>
  <Override PartName="/xl/queryTables/queryTable1535.xml" ContentType="application/vnd.openxmlformats-officedocument.spreadsheetml.queryTable+xml"/>
  <Override PartName="/xl/queryTables/queryTable1536.xml" ContentType="application/vnd.openxmlformats-officedocument.spreadsheetml.queryTable+xml"/>
  <Override PartName="/xl/queryTables/queryTable1537.xml" ContentType="application/vnd.openxmlformats-officedocument.spreadsheetml.queryTable+xml"/>
  <Override PartName="/xl/queryTables/queryTable1538.xml" ContentType="application/vnd.openxmlformats-officedocument.spreadsheetml.queryTable+xml"/>
  <Override PartName="/xl/queryTables/queryTable1539.xml" ContentType="application/vnd.openxmlformats-officedocument.spreadsheetml.queryTable+xml"/>
  <Override PartName="/xl/queryTables/queryTable1540.xml" ContentType="application/vnd.openxmlformats-officedocument.spreadsheetml.queryTable+xml"/>
  <Override PartName="/xl/queryTables/queryTable1541.xml" ContentType="application/vnd.openxmlformats-officedocument.spreadsheetml.queryTable+xml"/>
  <Override PartName="/xl/queryTables/queryTable1542.xml" ContentType="application/vnd.openxmlformats-officedocument.spreadsheetml.queryTable+xml"/>
  <Override PartName="/xl/queryTables/queryTable1543.xml" ContentType="application/vnd.openxmlformats-officedocument.spreadsheetml.queryTable+xml"/>
  <Override PartName="/xl/queryTables/queryTable1544.xml" ContentType="application/vnd.openxmlformats-officedocument.spreadsheetml.queryTable+xml"/>
  <Override PartName="/xl/queryTables/queryTable1545.xml" ContentType="application/vnd.openxmlformats-officedocument.spreadsheetml.queryTable+xml"/>
  <Override PartName="/xl/queryTables/queryTable1546.xml" ContentType="application/vnd.openxmlformats-officedocument.spreadsheetml.queryTable+xml"/>
  <Override PartName="/xl/queryTables/queryTable1547.xml" ContentType="application/vnd.openxmlformats-officedocument.spreadsheetml.queryTable+xml"/>
  <Override PartName="/xl/queryTables/queryTable1548.xml" ContentType="application/vnd.openxmlformats-officedocument.spreadsheetml.queryTable+xml"/>
  <Override PartName="/xl/queryTables/queryTable1549.xml" ContentType="application/vnd.openxmlformats-officedocument.spreadsheetml.queryTable+xml"/>
  <Override PartName="/xl/queryTables/queryTable1550.xml" ContentType="application/vnd.openxmlformats-officedocument.spreadsheetml.queryTable+xml"/>
  <Override PartName="/xl/queryTables/queryTable1551.xml" ContentType="application/vnd.openxmlformats-officedocument.spreadsheetml.queryTable+xml"/>
  <Override PartName="/xl/queryTables/queryTable1552.xml" ContentType="application/vnd.openxmlformats-officedocument.spreadsheetml.queryTable+xml"/>
  <Override PartName="/xl/queryTables/queryTable1553.xml" ContentType="application/vnd.openxmlformats-officedocument.spreadsheetml.queryTable+xml"/>
  <Override PartName="/xl/queryTables/queryTable1554.xml" ContentType="application/vnd.openxmlformats-officedocument.spreadsheetml.queryTable+xml"/>
  <Override PartName="/xl/queryTables/queryTable1555.xml" ContentType="application/vnd.openxmlformats-officedocument.spreadsheetml.queryTable+xml"/>
  <Override PartName="/xl/queryTables/queryTable1556.xml" ContentType="application/vnd.openxmlformats-officedocument.spreadsheetml.queryTable+xml"/>
  <Override PartName="/xl/queryTables/queryTable1557.xml" ContentType="application/vnd.openxmlformats-officedocument.spreadsheetml.queryTable+xml"/>
  <Override PartName="/xl/queryTables/queryTable1558.xml" ContentType="application/vnd.openxmlformats-officedocument.spreadsheetml.queryTable+xml"/>
  <Override PartName="/xl/queryTables/queryTable1559.xml" ContentType="application/vnd.openxmlformats-officedocument.spreadsheetml.queryTable+xml"/>
  <Override PartName="/xl/queryTables/queryTable1560.xml" ContentType="application/vnd.openxmlformats-officedocument.spreadsheetml.queryTable+xml"/>
  <Override PartName="/xl/queryTables/queryTable1561.xml" ContentType="application/vnd.openxmlformats-officedocument.spreadsheetml.queryTable+xml"/>
  <Override PartName="/xl/queryTables/queryTable1562.xml" ContentType="application/vnd.openxmlformats-officedocument.spreadsheetml.queryTable+xml"/>
  <Override PartName="/xl/queryTables/queryTable1563.xml" ContentType="application/vnd.openxmlformats-officedocument.spreadsheetml.queryTable+xml"/>
  <Override PartName="/xl/queryTables/queryTable1564.xml" ContentType="application/vnd.openxmlformats-officedocument.spreadsheetml.queryTable+xml"/>
  <Override PartName="/xl/queryTables/queryTable1565.xml" ContentType="application/vnd.openxmlformats-officedocument.spreadsheetml.queryTable+xml"/>
  <Override PartName="/xl/queryTables/queryTable1566.xml" ContentType="application/vnd.openxmlformats-officedocument.spreadsheetml.queryTable+xml"/>
  <Override PartName="/xl/queryTables/queryTable1567.xml" ContentType="application/vnd.openxmlformats-officedocument.spreadsheetml.queryTable+xml"/>
  <Override PartName="/xl/queryTables/queryTable1568.xml" ContentType="application/vnd.openxmlformats-officedocument.spreadsheetml.queryTable+xml"/>
  <Override PartName="/xl/queryTables/queryTable1569.xml" ContentType="application/vnd.openxmlformats-officedocument.spreadsheetml.queryTable+xml"/>
  <Override PartName="/xl/queryTables/queryTable1570.xml" ContentType="application/vnd.openxmlformats-officedocument.spreadsheetml.queryTable+xml"/>
  <Override PartName="/xl/queryTables/queryTable1571.xml" ContentType="application/vnd.openxmlformats-officedocument.spreadsheetml.queryTable+xml"/>
  <Override PartName="/xl/queryTables/queryTable1572.xml" ContentType="application/vnd.openxmlformats-officedocument.spreadsheetml.queryTable+xml"/>
  <Override PartName="/xl/queryTables/queryTable1573.xml" ContentType="application/vnd.openxmlformats-officedocument.spreadsheetml.queryTable+xml"/>
  <Override PartName="/xl/queryTables/queryTable1574.xml" ContentType="application/vnd.openxmlformats-officedocument.spreadsheetml.queryTable+xml"/>
  <Override PartName="/xl/queryTables/queryTable1575.xml" ContentType="application/vnd.openxmlformats-officedocument.spreadsheetml.queryTable+xml"/>
  <Override PartName="/xl/queryTables/queryTable1576.xml" ContentType="application/vnd.openxmlformats-officedocument.spreadsheetml.queryTable+xml"/>
  <Override PartName="/xl/queryTables/queryTable1577.xml" ContentType="application/vnd.openxmlformats-officedocument.spreadsheetml.queryTable+xml"/>
  <Override PartName="/xl/queryTables/queryTable1578.xml" ContentType="application/vnd.openxmlformats-officedocument.spreadsheetml.queryTable+xml"/>
  <Override PartName="/xl/queryTables/queryTable1579.xml" ContentType="application/vnd.openxmlformats-officedocument.spreadsheetml.queryTable+xml"/>
  <Override PartName="/xl/queryTables/queryTable1580.xml" ContentType="application/vnd.openxmlformats-officedocument.spreadsheetml.queryTable+xml"/>
  <Override PartName="/xl/queryTables/queryTable1581.xml" ContentType="application/vnd.openxmlformats-officedocument.spreadsheetml.queryTable+xml"/>
  <Override PartName="/xl/queryTables/queryTable1582.xml" ContentType="application/vnd.openxmlformats-officedocument.spreadsheetml.queryTable+xml"/>
  <Override PartName="/xl/queryTables/queryTable1583.xml" ContentType="application/vnd.openxmlformats-officedocument.spreadsheetml.queryTable+xml"/>
  <Override PartName="/xl/queryTables/queryTable1584.xml" ContentType="application/vnd.openxmlformats-officedocument.spreadsheetml.queryTable+xml"/>
  <Override PartName="/xl/queryTables/queryTable1585.xml" ContentType="application/vnd.openxmlformats-officedocument.spreadsheetml.queryTable+xml"/>
  <Override PartName="/xl/queryTables/queryTable1586.xml" ContentType="application/vnd.openxmlformats-officedocument.spreadsheetml.queryTable+xml"/>
  <Override PartName="/xl/queryTables/queryTable1587.xml" ContentType="application/vnd.openxmlformats-officedocument.spreadsheetml.queryTable+xml"/>
  <Override PartName="/xl/queryTables/queryTable1588.xml" ContentType="application/vnd.openxmlformats-officedocument.spreadsheetml.queryTable+xml"/>
  <Override PartName="/xl/queryTables/queryTable1589.xml" ContentType="application/vnd.openxmlformats-officedocument.spreadsheetml.queryTable+xml"/>
  <Override PartName="/xl/queryTables/queryTable1590.xml" ContentType="application/vnd.openxmlformats-officedocument.spreadsheetml.queryTable+xml"/>
  <Override PartName="/xl/queryTables/queryTable1591.xml" ContentType="application/vnd.openxmlformats-officedocument.spreadsheetml.queryTable+xml"/>
  <Override PartName="/xl/queryTables/queryTable1592.xml" ContentType="application/vnd.openxmlformats-officedocument.spreadsheetml.queryTable+xml"/>
  <Override PartName="/xl/queryTables/queryTable1593.xml" ContentType="application/vnd.openxmlformats-officedocument.spreadsheetml.queryTable+xml"/>
  <Override PartName="/xl/queryTables/queryTable1594.xml" ContentType="application/vnd.openxmlformats-officedocument.spreadsheetml.queryTable+xml"/>
  <Override PartName="/xl/queryTables/queryTable1595.xml" ContentType="application/vnd.openxmlformats-officedocument.spreadsheetml.queryTable+xml"/>
  <Override PartName="/xl/queryTables/queryTable1596.xml" ContentType="application/vnd.openxmlformats-officedocument.spreadsheetml.queryTable+xml"/>
  <Override PartName="/xl/queryTables/queryTable1597.xml" ContentType="application/vnd.openxmlformats-officedocument.spreadsheetml.queryTable+xml"/>
  <Override PartName="/xl/queryTables/queryTable1598.xml" ContentType="application/vnd.openxmlformats-officedocument.spreadsheetml.queryTable+xml"/>
  <Override PartName="/xl/queryTables/queryTable1599.xml" ContentType="application/vnd.openxmlformats-officedocument.spreadsheetml.queryTable+xml"/>
  <Override PartName="/xl/queryTables/queryTable1600.xml" ContentType="application/vnd.openxmlformats-officedocument.spreadsheetml.queryTable+xml"/>
  <Override PartName="/xl/queryTables/queryTable1601.xml" ContentType="application/vnd.openxmlformats-officedocument.spreadsheetml.queryTable+xml"/>
  <Override PartName="/xl/queryTables/queryTable1602.xml" ContentType="application/vnd.openxmlformats-officedocument.spreadsheetml.queryTable+xml"/>
  <Override PartName="/xl/queryTables/queryTable1603.xml" ContentType="application/vnd.openxmlformats-officedocument.spreadsheetml.queryTable+xml"/>
  <Override PartName="/xl/queryTables/queryTable1604.xml" ContentType="application/vnd.openxmlformats-officedocument.spreadsheetml.queryTable+xml"/>
  <Override PartName="/xl/queryTables/queryTable1605.xml" ContentType="application/vnd.openxmlformats-officedocument.spreadsheetml.queryTable+xml"/>
  <Override PartName="/xl/queryTables/queryTable1606.xml" ContentType="application/vnd.openxmlformats-officedocument.spreadsheetml.queryTable+xml"/>
  <Override PartName="/xl/queryTables/queryTable1607.xml" ContentType="application/vnd.openxmlformats-officedocument.spreadsheetml.queryTable+xml"/>
  <Override PartName="/xl/queryTables/queryTable1608.xml" ContentType="application/vnd.openxmlformats-officedocument.spreadsheetml.queryTable+xml"/>
  <Override PartName="/xl/queryTables/queryTable1609.xml" ContentType="application/vnd.openxmlformats-officedocument.spreadsheetml.queryTable+xml"/>
  <Override PartName="/xl/queryTables/queryTable1610.xml" ContentType="application/vnd.openxmlformats-officedocument.spreadsheetml.queryTable+xml"/>
  <Override PartName="/xl/queryTables/queryTable1611.xml" ContentType="application/vnd.openxmlformats-officedocument.spreadsheetml.queryTable+xml"/>
  <Override PartName="/xl/queryTables/queryTable1612.xml" ContentType="application/vnd.openxmlformats-officedocument.spreadsheetml.queryTable+xml"/>
  <Override PartName="/xl/queryTables/queryTable1613.xml" ContentType="application/vnd.openxmlformats-officedocument.spreadsheetml.queryTable+xml"/>
  <Override PartName="/xl/queryTables/queryTable1614.xml" ContentType="application/vnd.openxmlformats-officedocument.spreadsheetml.queryTable+xml"/>
  <Override PartName="/xl/queryTables/queryTable1615.xml" ContentType="application/vnd.openxmlformats-officedocument.spreadsheetml.queryTable+xml"/>
  <Override PartName="/xl/queryTables/queryTable1616.xml" ContentType="application/vnd.openxmlformats-officedocument.spreadsheetml.queryTable+xml"/>
  <Override PartName="/xl/queryTables/queryTable1617.xml" ContentType="application/vnd.openxmlformats-officedocument.spreadsheetml.queryTable+xml"/>
  <Override PartName="/xl/queryTables/queryTable1618.xml" ContentType="application/vnd.openxmlformats-officedocument.spreadsheetml.queryTable+xml"/>
  <Override PartName="/xl/queryTables/queryTable1619.xml" ContentType="application/vnd.openxmlformats-officedocument.spreadsheetml.queryTable+xml"/>
  <Override PartName="/xl/queryTables/queryTable1620.xml" ContentType="application/vnd.openxmlformats-officedocument.spreadsheetml.queryTable+xml"/>
  <Override PartName="/xl/queryTables/queryTable1621.xml" ContentType="application/vnd.openxmlformats-officedocument.spreadsheetml.queryTable+xml"/>
  <Override PartName="/xl/queryTables/queryTable1622.xml" ContentType="application/vnd.openxmlformats-officedocument.spreadsheetml.queryTable+xml"/>
  <Override PartName="/xl/queryTables/queryTable1623.xml" ContentType="application/vnd.openxmlformats-officedocument.spreadsheetml.queryTable+xml"/>
  <Override PartName="/xl/queryTables/queryTable1624.xml" ContentType="application/vnd.openxmlformats-officedocument.spreadsheetml.queryTable+xml"/>
  <Override PartName="/xl/queryTables/queryTable1625.xml" ContentType="application/vnd.openxmlformats-officedocument.spreadsheetml.queryTable+xml"/>
  <Override PartName="/xl/queryTables/queryTable1626.xml" ContentType="application/vnd.openxmlformats-officedocument.spreadsheetml.queryTable+xml"/>
  <Override PartName="/xl/queryTables/queryTable1627.xml" ContentType="application/vnd.openxmlformats-officedocument.spreadsheetml.queryTable+xml"/>
  <Override PartName="/xl/queryTables/queryTable1628.xml" ContentType="application/vnd.openxmlformats-officedocument.spreadsheetml.queryTable+xml"/>
  <Override PartName="/xl/queryTables/queryTable1629.xml" ContentType="application/vnd.openxmlformats-officedocument.spreadsheetml.queryTable+xml"/>
  <Override PartName="/xl/queryTables/queryTable1630.xml" ContentType="application/vnd.openxmlformats-officedocument.spreadsheetml.queryTable+xml"/>
  <Override PartName="/xl/queryTables/queryTable1631.xml" ContentType="application/vnd.openxmlformats-officedocument.spreadsheetml.queryTable+xml"/>
  <Override PartName="/xl/queryTables/queryTable1632.xml" ContentType="application/vnd.openxmlformats-officedocument.spreadsheetml.queryTable+xml"/>
  <Override PartName="/xl/queryTables/queryTable1633.xml" ContentType="application/vnd.openxmlformats-officedocument.spreadsheetml.queryTable+xml"/>
  <Override PartName="/xl/queryTables/queryTable1634.xml" ContentType="application/vnd.openxmlformats-officedocument.spreadsheetml.queryTable+xml"/>
  <Override PartName="/xl/queryTables/queryTable1635.xml" ContentType="application/vnd.openxmlformats-officedocument.spreadsheetml.queryTable+xml"/>
  <Override PartName="/xl/queryTables/queryTable1636.xml" ContentType="application/vnd.openxmlformats-officedocument.spreadsheetml.queryTable+xml"/>
  <Override PartName="/xl/queryTables/queryTable1637.xml" ContentType="application/vnd.openxmlformats-officedocument.spreadsheetml.queryTable+xml"/>
  <Override PartName="/xl/queryTables/queryTable1638.xml" ContentType="application/vnd.openxmlformats-officedocument.spreadsheetml.queryTable+xml"/>
  <Override PartName="/xl/queryTables/queryTable1639.xml" ContentType="application/vnd.openxmlformats-officedocument.spreadsheetml.queryTable+xml"/>
  <Override PartName="/xl/queryTables/queryTable1640.xml" ContentType="application/vnd.openxmlformats-officedocument.spreadsheetml.queryTable+xml"/>
  <Override PartName="/xl/queryTables/queryTable1641.xml" ContentType="application/vnd.openxmlformats-officedocument.spreadsheetml.queryTable+xml"/>
  <Override PartName="/xl/queryTables/queryTable1642.xml" ContentType="application/vnd.openxmlformats-officedocument.spreadsheetml.queryTable+xml"/>
  <Override PartName="/xl/queryTables/queryTable1643.xml" ContentType="application/vnd.openxmlformats-officedocument.spreadsheetml.queryTable+xml"/>
  <Override PartName="/xl/queryTables/queryTable1644.xml" ContentType="application/vnd.openxmlformats-officedocument.spreadsheetml.queryTable+xml"/>
  <Override PartName="/xl/queryTables/queryTable1645.xml" ContentType="application/vnd.openxmlformats-officedocument.spreadsheetml.queryTable+xml"/>
  <Override PartName="/xl/queryTables/queryTable1646.xml" ContentType="application/vnd.openxmlformats-officedocument.spreadsheetml.queryTable+xml"/>
  <Override PartName="/xl/queryTables/queryTable1647.xml" ContentType="application/vnd.openxmlformats-officedocument.spreadsheetml.queryTable+xml"/>
  <Override PartName="/xl/queryTables/queryTable1648.xml" ContentType="application/vnd.openxmlformats-officedocument.spreadsheetml.queryTable+xml"/>
  <Override PartName="/xl/queryTables/queryTable1649.xml" ContentType="application/vnd.openxmlformats-officedocument.spreadsheetml.queryTable+xml"/>
  <Override PartName="/xl/queryTables/queryTable1650.xml" ContentType="application/vnd.openxmlformats-officedocument.spreadsheetml.queryTable+xml"/>
  <Override PartName="/xl/queryTables/queryTable1651.xml" ContentType="application/vnd.openxmlformats-officedocument.spreadsheetml.queryTable+xml"/>
  <Override PartName="/xl/queryTables/queryTable1652.xml" ContentType="application/vnd.openxmlformats-officedocument.spreadsheetml.queryTable+xml"/>
  <Override PartName="/xl/queryTables/queryTable1653.xml" ContentType="application/vnd.openxmlformats-officedocument.spreadsheetml.queryTable+xml"/>
  <Override PartName="/xl/queryTables/queryTable1654.xml" ContentType="application/vnd.openxmlformats-officedocument.spreadsheetml.queryTable+xml"/>
  <Override PartName="/xl/queryTables/queryTable1655.xml" ContentType="application/vnd.openxmlformats-officedocument.spreadsheetml.queryTable+xml"/>
  <Override PartName="/xl/queryTables/queryTable1656.xml" ContentType="application/vnd.openxmlformats-officedocument.spreadsheetml.queryTable+xml"/>
  <Override PartName="/xl/queryTables/queryTable1657.xml" ContentType="application/vnd.openxmlformats-officedocument.spreadsheetml.queryTable+xml"/>
  <Override PartName="/xl/queryTables/queryTable1658.xml" ContentType="application/vnd.openxmlformats-officedocument.spreadsheetml.queryTable+xml"/>
  <Override PartName="/xl/queryTables/queryTable1659.xml" ContentType="application/vnd.openxmlformats-officedocument.spreadsheetml.queryTable+xml"/>
  <Override PartName="/xl/queryTables/queryTable1660.xml" ContentType="application/vnd.openxmlformats-officedocument.spreadsheetml.queryTable+xml"/>
  <Override PartName="/xl/queryTables/queryTable1661.xml" ContentType="application/vnd.openxmlformats-officedocument.spreadsheetml.queryTable+xml"/>
  <Override PartName="/xl/queryTables/queryTable1662.xml" ContentType="application/vnd.openxmlformats-officedocument.spreadsheetml.queryTable+xml"/>
  <Override PartName="/xl/queryTables/queryTable1663.xml" ContentType="application/vnd.openxmlformats-officedocument.spreadsheetml.queryTable+xml"/>
  <Override PartName="/xl/queryTables/queryTable1664.xml" ContentType="application/vnd.openxmlformats-officedocument.spreadsheetml.queryTable+xml"/>
  <Override PartName="/xl/queryTables/queryTable1665.xml" ContentType="application/vnd.openxmlformats-officedocument.spreadsheetml.queryTable+xml"/>
  <Override PartName="/xl/queryTables/queryTable1666.xml" ContentType="application/vnd.openxmlformats-officedocument.spreadsheetml.queryTable+xml"/>
  <Override PartName="/xl/queryTables/queryTable1667.xml" ContentType="application/vnd.openxmlformats-officedocument.spreadsheetml.queryTable+xml"/>
  <Override PartName="/xl/queryTables/queryTable1668.xml" ContentType="application/vnd.openxmlformats-officedocument.spreadsheetml.queryTable+xml"/>
  <Override PartName="/xl/queryTables/queryTable1669.xml" ContentType="application/vnd.openxmlformats-officedocument.spreadsheetml.queryTable+xml"/>
  <Override PartName="/xl/queryTables/queryTable1670.xml" ContentType="application/vnd.openxmlformats-officedocument.spreadsheetml.queryTable+xml"/>
  <Override PartName="/xl/queryTables/queryTable1671.xml" ContentType="application/vnd.openxmlformats-officedocument.spreadsheetml.queryTable+xml"/>
  <Override PartName="/xl/queryTables/queryTable1672.xml" ContentType="application/vnd.openxmlformats-officedocument.spreadsheetml.queryTable+xml"/>
  <Override PartName="/xl/queryTables/queryTable1673.xml" ContentType="application/vnd.openxmlformats-officedocument.spreadsheetml.queryTable+xml"/>
  <Override PartName="/xl/queryTables/queryTable1674.xml" ContentType="application/vnd.openxmlformats-officedocument.spreadsheetml.queryTable+xml"/>
  <Override PartName="/xl/queryTables/queryTable1675.xml" ContentType="application/vnd.openxmlformats-officedocument.spreadsheetml.queryTable+xml"/>
  <Override PartName="/xl/queryTables/queryTable1676.xml" ContentType="application/vnd.openxmlformats-officedocument.spreadsheetml.queryTable+xml"/>
  <Override PartName="/xl/queryTables/queryTable1677.xml" ContentType="application/vnd.openxmlformats-officedocument.spreadsheetml.queryTable+xml"/>
  <Override PartName="/xl/queryTables/queryTable1678.xml" ContentType="application/vnd.openxmlformats-officedocument.spreadsheetml.queryTable+xml"/>
  <Override PartName="/xl/queryTables/queryTable1679.xml" ContentType="application/vnd.openxmlformats-officedocument.spreadsheetml.queryTable+xml"/>
  <Override PartName="/xl/queryTables/queryTable1680.xml" ContentType="application/vnd.openxmlformats-officedocument.spreadsheetml.queryTable+xml"/>
  <Override PartName="/xl/queryTables/queryTable1681.xml" ContentType="application/vnd.openxmlformats-officedocument.spreadsheetml.queryTable+xml"/>
  <Override PartName="/xl/queryTables/queryTable1682.xml" ContentType="application/vnd.openxmlformats-officedocument.spreadsheetml.queryTable+xml"/>
  <Override PartName="/xl/queryTables/queryTable1683.xml" ContentType="application/vnd.openxmlformats-officedocument.spreadsheetml.queryTable+xml"/>
  <Override PartName="/xl/queryTables/queryTable1684.xml" ContentType="application/vnd.openxmlformats-officedocument.spreadsheetml.queryTable+xml"/>
  <Override PartName="/xl/queryTables/queryTable1685.xml" ContentType="application/vnd.openxmlformats-officedocument.spreadsheetml.queryTable+xml"/>
  <Override PartName="/xl/queryTables/queryTable1686.xml" ContentType="application/vnd.openxmlformats-officedocument.spreadsheetml.queryTable+xml"/>
  <Override PartName="/xl/queryTables/queryTable1687.xml" ContentType="application/vnd.openxmlformats-officedocument.spreadsheetml.queryTable+xml"/>
  <Override PartName="/xl/queryTables/queryTable1688.xml" ContentType="application/vnd.openxmlformats-officedocument.spreadsheetml.queryTable+xml"/>
  <Override PartName="/xl/queryTables/queryTable1689.xml" ContentType="application/vnd.openxmlformats-officedocument.spreadsheetml.queryTable+xml"/>
  <Override PartName="/xl/queryTables/queryTable1690.xml" ContentType="application/vnd.openxmlformats-officedocument.spreadsheetml.queryTable+xml"/>
  <Override PartName="/xl/queryTables/queryTable1691.xml" ContentType="application/vnd.openxmlformats-officedocument.spreadsheetml.queryTable+xml"/>
  <Override PartName="/xl/queryTables/queryTable1692.xml" ContentType="application/vnd.openxmlformats-officedocument.spreadsheetml.queryTable+xml"/>
  <Override PartName="/xl/queryTables/queryTable1693.xml" ContentType="application/vnd.openxmlformats-officedocument.spreadsheetml.queryTable+xml"/>
  <Override PartName="/xl/queryTables/queryTable1694.xml" ContentType="application/vnd.openxmlformats-officedocument.spreadsheetml.queryTable+xml"/>
  <Override PartName="/xl/queryTables/queryTable1695.xml" ContentType="application/vnd.openxmlformats-officedocument.spreadsheetml.queryTable+xml"/>
  <Override PartName="/xl/queryTables/queryTable1696.xml" ContentType="application/vnd.openxmlformats-officedocument.spreadsheetml.queryTable+xml"/>
  <Override PartName="/xl/queryTables/queryTable1697.xml" ContentType="application/vnd.openxmlformats-officedocument.spreadsheetml.queryTable+xml"/>
  <Override PartName="/xl/queryTables/queryTable1698.xml" ContentType="application/vnd.openxmlformats-officedocument.spreadsheetml.queryTable+xml"/>
  <Override PartName="/xl/queryTables/queryTable1699.xml" ContentType="application/vnd.openxmlformats-officedocument.spreadsheetml.queryTable+xml"/>
  <Override PartName="/xl/queryTables/queryTable1700.xml" ContentType="application/vnd.openxmlformats-officedocument.spreadsheetml.queryTable+xml"/>
  <Override PartName="/xl/queryTables/queryTable1701.xml" ContentType="application/vnd.openxmlformats-officedocument.spreadsheetml.queryTable+xml"/>
  <Override PartName="/xl/queryTables/queryTable1702.xml" ContentType="application/vnd.openxmlformats-officedocument.spreadsheetml.queryTable+xml"/>
  <Override PartName="/xl/queryTables/queryTable1703.xml" ContentType="application/vnd.openxmlformats-officedocument.spreadsheetml.queryTable+xml"/>
  <Override PartName="/xl/queryTables/queryTable1704.xml" ContentType="application/vnd.openxmlformats-officedocument.spreadsheetml.queryTable+xml"/>
  <Override PartName="/xl/queryTables/queryTable1705.xml" ContentType="application/vnd.openxmlformats-officedocument.spreadsheetml.queryTable+xml"/>
  <Override PartName="/xl/queryTables/queryTable1706.xml" ContentType="application/vnd.openxmlformats-officedocument.spreadsheetml.queryTable+xml"/>
  <Override PartName="/xl/queryTables/queryTable1707.xml" ContentType="application/vnd.openxmlformats-officedocument.spreadsheetml.queryTable+xml"/>
  <Override PartName="/xl/queryTables/queryTable1708.xml" ContentType="application/vnd.openxmlformats-officedocument.spreadsheetml.queryTable+xml"/>
  <Override PartName="/xl/queryTables/queryTable1709.xml" ContentType="application/vnd.openxmlformats-officedocument.spreadsheetml.queryTable+xml"/>
  <Override PartName="/xl/queryTables/queryTable1710.xml" ContentType="application/vnd.openxmlformats-officedocument.spreadsheetml.queryTable+xml"/>
  <Override PartName="/xl/queryTables/queryTable1711.xml" ContentType="application/vnd.openxmlformats-officedocument.spreadsheetml.queryTable+xml"/>
  <Override PartName="/xl/queryTables/queryTable1712.xml" ContentType="application/vnd.openxmlformats-officedocument.spreadsheetml.queryTable+xml"/>
  <Override PartName="/xl/queryTables/queryTable1713.xml" ContentType="application/vnd.openxmlformats-officedocument.spreadsheetml.queryTable+xml"/>
  <Override PartName="/xl/queryTables/queryTable1714.xml" ContentType="application/vnd.openxmlformats-officedocument.spreadsheetml.queryTable+xml"/>
  <Override PartName="/xl/queryTables/queryTable1715.xml" ContentType="application/vnd.openxmlformats-officedocument.spreadsheetml.queryTable+xml"/>
  <Override PartName="/xl/queryTables/queryTable1716.xml" ContentType="application/vnd.openxmlformats-officedocument.spreadsheetml.queryTable+xml"/>
  <Override PartName="/xl/queryTables/queryTable1717.xml" ContentType="application/vnd.openxmlformats-officedocument.spreadsheetml.queryTable+xml"/>
  <Override PartName="/xl/queryTables/queryTable1718.xml" ContentType="application/vnd.openxmlformats-officedocument.spreadsheetml.queryTable+xml"/>
  <Override PartName="/xl/queryTables/queryTable1719.xml" ContentType="application/vnd.openxmlformats-officedocument.spreadsheetml.queryTable+xml"/>
  <Override PartName="/xl/queryTables/queryTable1720.xml" ContentType="application/vnd.openxmlformats-officedocument.spreadsheetml.queryTable+xml"/>
  <Override PartName="/xl/queryTables/queryTable1721.xml" ContentType="application/vnd.openxmlformats-officedocument.spreadsheetml.queryTable+xml"/>
  <Override PartName="/xl/queryTables/queryTable1722.xml" ContentType="application/vnd.openxmlformats-officedocument.spreadsheetml.queryTable+xml"/>
  <Override PartName="/xl/queryTables/queryTable1723.xml" ContentType="application/vnd.openxmlformats-officedocument.spreadsheetml.queryTable+xml"/>
  <Override PartName="/xl/queryTables/queryTable1724.xml" ContentType="application/vnd.openxmlformats-officedocument.spreadsheetml.queryTable+xml"/>
  <Override PartName="/xl/queryTables/queryTable1725.xml" ContentType="application/vnd.openxmlformats-officedocument.spreadsheetml.queryTable+xml"/>
  <Override PartName="/xl/queryTables/queryTable1726.xml" ContentType="application/vnd.openxmlformats-officedocument.spreadsheetml.queryTable+xml"/>
  <Override PartName="/xl/queryTables/queryTable1727.xml" ContentType="application/vnd.openxmlformats-officedocument.spreadsheetml.queryTable+xml"/>
  <Override PartName="/xl/queryTables/queryTable1728.xml" ContentType="application/vnd.openxmlformats-officedocument.spreadsheetml.queryTable+xml"/>
  <Override PartName="/xl/queryTables/queryTable1729.xml" ContentType="application/vnd.openxmlformats-officedocument.spreadsheetml.queryTable+xml"/>
  <Override PartName="/xl/queryTables/queryTable1730.xml" ContentType="application/vnd.openxmlformats-officedocument.spreadsheetml.queryTable+xml"/>
  <Override PartName="/xl/queryTables/queryTable1731.xml" ContentType="application/vnd.openxmlformats-officedocument.spreadsheetml.queryTable+xml"/>
  <Override PartName="/xl/queryTables/queryTable1732.xml" ContentType="application/vnd.openxmlformats-officedocument.spreadsheetml.queryTable+xml"/>
  <Override PartName="/xl/queryTables/queryTable1733.xml" ContentType="application/vnd.openxmlformats-officedocument.spreadsheetml.queryTable+xml"/>
  <Override PartName="/xl/queryTables/queryTable1734.xml" ContentType="application/vnd.openxmlformats-officedocument.spreadsheetml.queryTable+xml"/>
  <Override PartName="/xl/queryTables/queryTable1735.xml" ContentType="application/vnd.openxmlformats-officedocument.spreadsheetml.queryTable+xml"/>
  <Override PartName="/xl/queryTables/queryTable1736.xml" ContentType="application/vnd.openxmlformats-officedocument.spreadsheetml.queryTable+xml"/>
  <Override PartName="/xl/queryTables/queryTable1737.xml" ContentType="application/vnd.openxmlformats-officedocument.spreadsheetml.queryTable+xml"/>
  <Override PartName="/xl/queryTables/queryTable1738.xml" ContentType="application/vnd.openxmlformats-officedocument.spreadsheetml.queryTable+xml"/>
  <Override PartName="/xl/queryTables/queryTable1739.xml" ContentType="application/vnd.openxmlformats-officedocument.spreadsheetml.queryTable+xml"/>
  <Override PartName="/xl/queryTables/queryTable1740.xml" ContentType="application/vnd.openxmlformats-officedocument.spreadsheetml.queryTable+xml"/>
  <Override PartName="/xl/queryTables/queryTable1741.xml" ContentType="application/vnd.openxmlformats-officedocument.spreadsheetml.queryTable+xml"/>
  <Override PartName="/xl/queryTables/queryTable1742.xml" ContentType="application/vnd.openxmlformats-officedocument.spreadsheetml.queryTable+xml"/>
  <Override PartName="/xl/queryTables/queryTable1743.xml" ContentType="application/vnd.openxmlformats-officedocument.spreadsheetml.queryTable+xml"/>
  <Override PartName="/xl/queryTables/queryTable1744.xml" ContentType="application/vnd.openxmlformats-officedocument.spreadsheetml.queryTable+xml"/>
  <Override PartName="/xl/queryTables/queryTable1745.xml" ContentType="application/vnd.openxmlformats-officedocument.spreadsheetml.queryTable+xml"/>
  <Override PartName="/xl/queryTables/queryTable1746.xml" ContentType="application/vnd.openxmlformats-officedocument.spreadsheetml.queryTable+xml"/>
  <Override PartName="/xl/queryTables/queryTable1747.xml" ContentType="application/vnd.openxmlformats-officedocument.spreadsheetml.queryTable+xml"/>
  <Override PartName="/xl/queryTables/queryTable1748.xml" ContentType="application/vnd.openxmlformats-officedocument.spreadsheetml.queryTable+xml"/>
  <Override PartName="/xl/queryTables/queryTable1749.xml" ContentType="application/vnd.openxmlformats-officedocument.spreadsheetml.queryTable+xml"/>
  <Override PartName="/xl/queryTables/queryTable1750.xml" ContentType="application/vnd.openxmlformats-officedocument.spreadsheetml.queryTable+xml"/>
  <Override PartName="/xl/queryTables/queryTable1751.xml" ContentType="application/vnd.openxmlformats-officedocument.spreadsheetml.queryTable+xml"/>
  <Override PartName="/xl/queryTables/queryTable1752.xml" ContentType="application/vnd.openxmlformats-officedocument.spreadsheetml.queryTable+xml"/>
  <Override PartName="/xl/queryTables/queryTable1753.xml" ContentType="application/vnd.openxmlformats-officedocument.spreadsheetml.queryTable+xml"/>
  <Override PartName="/xl/queryTables/queryTable1754.xml" ContentType="application/vnd.openxmlformats-officedocument.spreadsheetml.queryTable+xml"/>
  <Override PartName="/xl/queryTables/queryTable1755.xml" ContentType="application/vnd.openxmlformats-officedocument.spreadsheetml.queryTable+xml"/>
  <Override PartName="/xl/queryTables/queryTable1756.xml" ContentType="application/vnd.openxmlformats-officedocument.spreadsheetml.queryTable+xml"/>
  <Override PartName="/xl/queryTables/queryTable1757.xml" ContentType="application/vnd.openxmlformats-officedocument.spreadsheetml.queryTable+xml"/>
  <Override PartName="/xl/queryTables/queryTable1758.xml" ContentType="application/vnd.openxmlformats-officedocument.spreadsheetml.queryTable+xml"/>
  <Override PartName="/xl/queryTables/queryTable1759.xml" ContentType="application/vnd.openxmlformats-officedocument.spreadsheetml.queryTable+xml"/>
  <Override PartName="/xl/queryTables/queryTable1760.xml" ContentType="application/vnd.openxmlformats-officedocument.spreadsheetml.queryTable+xml"/>
  <Override PartName="/xl/queryTables/queryTable1761.xml" ContentType="application/vnd.openxmlformats-officedocument.spreadsheetml.queryTable+xml"/>
  <Override PartName="/xl/queryTables/queryTable1762.xml" ContentType="application/vnd.openxmlformats-officedocument.spreadsheetml.queryTable+xml"/>
  <Override PartName="/xl/queryTables/queryTable1763.xml" ContentType="application/vnd.openxmlformats-officedocument.spreadsheetml.queryTable+xml"/>
  <Override PartName="/xl/queryTables/queryTable1764.xml" ContentType="application/vnd.openxmlformats-officedocument.spreadsheetml.queryTable+xml"/>
  <Override PartName="/xl/queryTables/queryTable1765.xml" ContentType="application/vnd.openxmlformats-officedocument.spreadsheetml.queryTable+xml"/>
  <Override PartName="/xl/queryTables/queryTable1766.xml" ContentType="application/vnd.openxmlformats-officedocument.spreadsheetml.queryTable+xml"/>
  <Override PartName="/xl/queryTables/queryTable1767.xml" ContentType="application/vnd.openxmlformats-officedocument.spreadsheetml.queryTable+xml"/>
  <Override PartName="/xl/queryTables/queryTable1768.xml" ContentType="application/vnd.openxmlformats-officedocument.spreadsheetml.queryTable+xml"/>
  <Override PartName="/xl/queryTables/queryTable1769.xml" ContentType="application/vnd.openxmlformats-officedocument.spreadsheetml.queryTable+xml"/>
  <Override PartName="/xl/queryTables/queryTable1770.xml" ContentType="application/vnd.openxmlformats-officedocument.spreadsheetml.queryTable+xml"/>
  <Override PartName="/xl/queryTables/queryTable1771.xml" ContentType="application/vnd.openxmlformats-officedocument.spreadsheetml.queryTable+xml"/>
  <Override PartName="/xl/queryTables/queryTable1772.xml" ContentType="application/vnd.openxmlformats-officedocument.spreadsheetml.queryTable+xml"/>
  <Override PartName="/xl/queryTables/queryTable1773.xml" ContentType="application/vnd.openxmlformats-officedocument.spreadsheetml.queryTable+xml"/>
  <Override PartName="/xl/queryTables/queryTable1774.xml" ContentType="application/vnd.openxmlformats-officedocument.spreadsheetml.queryTable+xml"/>
  <Override PartName="/xl/queryTables/queryTable1775.xml" ContentType="application/vnd.openxmlformats-officedocument.spreadsheetml.queryTable+xml"/>
  <Override PartName="/xl/queryTables/queryTable1776.xml" ContentType="application/vnd.openxmlformats-officedocument.spreadsheetml.queryTable+xml"/>
  <Override PartName="/xl/queryTables/queryTable1777.xml" ContentType="application/vnd.openxmlformats-officedocument.spreadsheetml.queryTable+xml"/>
  <Override PartName="/xl/queryTables/queryTable1778.xml" ContentType="application/vnd.openxmlformats-officedocument.spreadsheetml.queryTable+xml"/>
  <Override PartName="/xl/queryTables/queryTable1779.xml" ContentType="application/vnd.openxmlformats-officedocument.spreadsheetml.queryTable+xml"/>
  <Override PartName="/xl/queryTables/queryTable1780.xml" ContentType="application/vnd.openxmlformats-officedocument.spreadsheetml.queryTable+xml"/>
  <Override PartName="/xl/queryTables/queryTable1781.xml" ContentType="application/vnd.openxmlformats-officedocument.spreadsheetml.queryTable+xml"/>
  <Override PartName="/xl/queryTables/queryTable1782.xml" ContentType="application/vnd.openxmlformats-officedocument.spreadsheetml.queryTable+xml"/>
  <Override PartName="/xl/queryTables/queryTable1783.xml" ContentType="application/vnd.openxmlformats-officedocument.spreadsheetml.queryTable+xml"/>
  <Override PartName="/xl/queryTables/queryTable1784.xml" ContentType="application/vnd.openxmlformats-officedocument.spreadsheetml.queryTable+xml"/>
  <Override PartName="/xl/queryTables/queryTable1785.xml" ContentType="application/vnd.openxmlformats-officedocument.spreadsheetml.queryTable+xml"/>
  <Override PartName="/xl/queryTables/queryTable1786.xml" ContentType="application/vnd.openxmlformats-officedocument.spreadsheetml.queryTable+xml"/>
  <Override PartName="/xl/queryTables/queryTable1787.xml" ContentType="application/vnd.openxmlformats-officedocument.spreadsheetml.queryTable+xml"/>
  <Override PartName="/xl/queryTables/queryTable1788.xml" ContentType="application/vnd.openxmlformats-officedocument.spreadsheetml.queryTable+xml"/>
  <Override PartName="/xl/queryTables/queryTable1789.xml" ContentType="application/vnd.openxmlformats-officedocument.spreadsheetml.queryTable+xml"/>
  <Override PartName="/xl/queryTables/queryTable1790.xml" ContentType="application/vnd.openxmlformats-officedocument.spreadsheetml.queryTable+xml"/>
  <Override PartName="/xl/queryTables/queryTable1791.xml" ContentType="application/vnd.openxmlformats-officedocument.spreadsheetml.queryTable+xml"/>
  <Override PartName="/xl/queryTables/queryTable1792.xml" ContentType="application/vnd.openxmlformats-officedocument.spreadsheetml.queryTable+xml"/>
  <Override PartName="/xl/queryTables/queryTable1793.xml" ContentType="application/vnd.openxmlformats-officedocument.spreadsheetml.queryTable+xml"/>
  <Override PartName="/xl/queryTables/queryTable1794.xml" ContentType="application/vnd.openxmlformats-officedocument.spreadsheetml.queryTable+xml"/>
  <Override PartName="/xl/queryTables/queryTable1795.xml" ContentType="application/vnd.openxmlformats-officedocument.spreadsheetml.queryTable+xml"/>
  <Override PartName="/xl/queryTables/queryTable1796.xml" ContentType="application/vnd.openxmlformats-officedocument.spreadsheetml.queryTable+xml"/>
  <Override PartName="/xl/queryTables/queryTable1797.xml" ContentType="application/vnd.openxmlformats-officedocument.spreadsheetml.queryTable+xml"/>
  <Override PartName="/xl/queryTables/queryTable1798.xml" ContentType="application/vnd.openxmlformats-officedocument.spreadsheetml.queryTable+xml"/>
  <Override PartName="/xl/queryTables/queryTable1799.xml" ContentType="application/vnd.openxmlformats-officedocument.spreadsheetml.queryTable+xml"/>
  <Override PartName="/xl/queryTables/queryTable1800.xml" ContentType="application/vnd.openxmlformats-officedocument.spreadsheetml.queryTable+xml"/>
  <Override PartName="/xl/queryTables/queryTable1801.xml" ContentType="application/vnd.openxmlformats-officedocument.spreadsheetml.queryTable+xml"/>
  <Override PartName="/xl/queryTables/queryTable1802.xml" ContentType="application/vnd.openxmlformats-officedocument.spreadsheetml.queryTable+xml"/>
  <Override PartName="/xl/queryTables/queryTable1803.xml" ContentType="application/vnd.openxmlformats-officedocument.spreadsheetml.queryTable+xml"/>
  <Override PartName="/xl/queryTables/queryTable1804.xml" ContentType="application/vnd.openxmlformats-officedocument.spreadsheetml.queryTable+xml"/>
  <Override PartName="/xl/queryTables/queryTable1805.xml" ContentType="application/vnd.openxmlformats-officedocument.spreadsheetml.queryTable+xml"/>
  <Override PartName="/xl/queryTables/queryTable1806.xml" ContentType="application/vnd.openxmlformats-officedocument.spreadsheetml.queryTable+xml"/>
  <Override PartName="/xl/queryTables/queryTable1807.xml" ContentType="application/vnd.openxmlformats-officedocument.spreadsheetml.queryTable+xml"/>
  <Override PartName="/xl/queryTables/queryTable1808.xml" ContentType="application/vnd.openxmlformats-officedocument.spreadsheetml.queryTable+xml"/>
  <Override PartName="/xl/queryTables/queryTable1809.xml" ContentType="application/vnd.openxmlformats-officedocument.spreadsheetml.queryTable+xml"/>
  <Override PartName="/xl/queryTables/queryTable1810.xml" ContentType="application/vnd.openxmlformats-officedocument.spreadsheetml.queryTable+xml"/>
  <Override PartName="/xl/queryTables/queryTable1811.xml" ContentType="application/vnd.openxmlformats-officedocument.spreadsheetml.queryTable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669617518209\"/>
    </mc:Choice>
  </mc:AlternateContent>
  <bookViews>
    <workbookView xWindow="0" yWindow="0" windowWidth="20496" windowHeight="7656" tabRatio="814" firstSheet="34" activeTab="34"/>
  </bookViews>
  <sheets>
    <sheet name="nhanvien" sheetId="1" state="hidden" r:id="rId1"/>
    <sheet name="Luong_BC" sheetId="5" state="hidden" r:id="rId2"/>
    <sheet name="Luong HĐ 68" sheetId="53" state="hidden" r:id="rId3"/>
    <sheet name="Luong_DH" sheetId="4" state="hidden" r:id="rId4"/>
    <sheet name="Khoanviec" sheetId="49" state="hidden" r:id="rId5"/>
    <sheet name="Luong VV" sheetId="7" state="hidden" r:id="rId6"/>
    <sheet name="Tro cap 116" sheetId="28" state="hidden" r:id="rId7"/>
    <sheet name="Dang phi (2)" sheetId="52" state="hidden" r:id="rId8"/>
    <sheet name="Dang phi" sheetId="29" state="hidden" r:id="rId9"/>
    <sheet name="TH_LUONG" sheetId="16" state="hidden" r:id="rId10"/>
    <sheet name="foxz" sheetId="64" state="hidden" r:id="rId11"/>
    <sheet name="foxz_2" sheetId="65" state="veryHidden" r:id="rId12"/>
    <sheet name="foxz_3" sheetId="66" state="veryHidden" r:id="rId13"/>
    <sheet name="foxz_4" sheetId="67" state="veryHidden" r:id="rId14"/>
    <sheet name="foxz_5" sheetId="68" state="veryHidden" r:id="rId15"/>
    <sheet name="foxz_6" sheetId="69" state="veryHidden" r:id="rId16"/>
    <sheet name="foxz_7" sheetId="70" state="veryHidden" r:id="rId17"/>
    <sheet name="foxz_8" sheetId="71" state="veryHidden" r:id="rId18"/>
    <sheet name="foxz_9" sheetId="72" state="veryHidden" r:id="rId19"/>
    <sheet name="foxz_10" sheetId="73" state="veryHidden" r:id="rId20"/>
    <sheet name="foxz_11" sheetId="74" state="veryHidden" r:id="rId21"/>
    <sheet name="foxz_12" sheetId="75" state="veryHidden" r:id="rId22"/>
    <sheet name="foxz_13" sheetId="76" state="veryHidden" r:id="rId23"/>
    <sheet name="foxz_14" sheetId="77" state="veryHidden" r:id="rId24"/>
    <sheet name="foxz_15" sheetId="78" state="veryHidden" r:id="rId25"/>
    <sheet name="foxz_16" sheetId="79" state="veryHidden" r:id="rId26"/>
    <sheet name="foxz_17" sheetId="80" state="veryHidden" r:id="rId27"/>
    <sheet name="foxz_18" sheetId="81" state="veryHidden" r:id="rId28"/>
    <sheet name="foxz_19" sheetId="82" state="veryHidden" r:id="rId29"/>
    <sheet name="foxz_20" sheetId="83" state="veryHidden" r:id="rId30"/>
    <sheet name="foxz_21" sheetId="84" state="veryHidden" r:id="rId31"/>
    <sheet name="foxz_22" sheetId="85" state="veryHidden" r:id="rId32"/>
    <sheet name="foxz_23" sheetId="86" state="veryHidden" r:id="rId33"/>
    <sheet name="foxz_24" sheetId="87" state="veryHidden" r:id="rId34"/>
    <sheet name="Nhân sự" sheetId="59" r:id="rId35"/>
    <sheet name="CK_BH" sheetId="12" state="hidden" r:id="rId36"/>
    <sheet name="KP_CD" sheetId="8" state="hidden" r:id="rId37"/>
    <sheet name="MẪU C13-TT LUONG" sheetId="51" state="hidden" r:id="rId38"/>
    <sheet name="BANG KÊ" sheetId="50" state="hidden" r:id="rId39"/>
    <sheet name="donvi" sheetId="2" state="hidden" r:id="rId40"/>
    <sheet name="heso" sheetId="6" state="hidden" r:id="rId41"/>
    <sheet name="bacluong" sheetId="19" state="hidden" r:id="rId42"/>
    <sheet name="chucvu" sheetId="18" state="hidden" r:id="rId43"/>
    <sheet name="vuotkhung" sheetId="20" state="hidden" r:id="rId44"/>
    <sheet name="khuvuc" sheetId="22" state="hidden" r:id="rId45"/>
    <sheet name="thamniennghe" sheetId="21" state="hidden" r:id="rId46"/>
    <sheet name="dochai" sheetId="23" state="hidden" r:id="rId47"/>
    <sheet name="uudainghe" sheetId="24" state="hidden" r:id="rId48"/>
    <sheet name="trachnhiem" sheetId="25" state="hidden" r:id="rId49"/>
    <sheet name="phukienhopdong" sheetId="17" state="hidden" r:id="rId50"/>
    <sheet name="kiemnhiem" sheetId="26" state="hidden" r:id="rId51"/>
    <sheet name="PC116-70" sheetId="30" state="hidden" r:id="rId52"/>
    <sheet name="PC116-50-70-100" sheetId="31" state="hidden" r:id="rId53"/>
    <sheet name="Thamso" sheetId="40" state="hidden" r:id="rId54"/>
    <sheet name="Sheet1" sheetId="54" state="hidden" r:id="rId55"/>
  </sheets>
  <externalReferences>
    <externalReference r:id="rId56"/>
    <externalReference r:id="rId57"/>
    <externalReference r:id="rId58"/>
    <externalReference r:id="rId59"/>
  </externalReferences>
  <definedNames>
    <definedName name="_xlnm._FilterDatabase" localSheetId="34" hidden="1">'Nhân sự'!$G$3:$J$78</definedName>
    <definedName name="_ma116" localSheetId="38">[1]nhanvien!$AJ$3:$AJ$65536</definedName>
    <definedName name="_ma116" localSheetId="37">[1]nhanvien!$AJ$3:$AJ$65536</definedName>
    <definedName name="_ma116">nhanvien!$AJ$3:$AJ$65536</definedName>
    <definedName name="_ma1670" localSheetId="38">[1]nhanvien!$AG$3:$AG$65536</definedName>
    <definedName name="_ma1670" localSheetId="37">[1]nhanvien!$AG$3:$AG$65536</definedName>
    <definedName name="_ma1670">nhanvien!$AG$3:$AG$65536</definedName>
    <definedName name="_pc11670" localSheetId="38">'[1]PC116-70'!$A$3:$IV$65536</definedName>
    <definedName name="_pc11670" localSheetId="37">'[1]PC116-70'!$A$3:$IV$65536</definedName>
    <definedName name="_pc11670">'PC116-70'!$3:$65536</definedName>
    <definedName name="bacluong" localSheetId="38">[1]bacluong!$A$3:$IV$65536</definedName>
    <definedName name="bacluong" localSheetId="37">[1]bacluong!$A$3:$IV$65536</definedName>
    <definedName name="bacluong">bacluong!$3:$65536</definedName>
    <definedName name="bangiamdoc_1">[2]Heso!$B$18</definedName>
    <definedName name="bhtn">heso!$B$6</definedName>
    <definedName name="bhtn_1" localSheetId="38">[1]heso!$C$6</definedName>
    <definedName name="bhtn_1" localSheetId="37">[1]heso!$C$6</definedName>
    <definedName name="bhtn_1">heso!$C$6</definedName>
    <definedName name="bhtn_2" localSheetId="38">[1]heso!$D$6</definedName>
    <definedName name="bhtn_2" localSheetId="37">[1]heso!$D$6</definedName>
    <definedName name="bhtn_2">heso!$D$6</definedName>
    <definedName name="bhtn_nld">[2]Heso!$C$6</definedName>
    <definedName name="bhtn_vqg">[2]Heso!$D$6</definedName>
    <definedName name="bhxh">heso!$B$4</definedName>
    <definedName name="bhxh_1" localSheetId="38">[1]heso!$C$4</definedName>
    <definedName name="bhxh_1" localSheetId="37">[1]heso!$C$4</definedName>
    <definedName name="bhxh_1">heso!$C$4</definedName>
    <definedName name="bhxh_2" localSheetId="38">[1]heso!$D$4</definedName>
    <definedName name="bhxh_2" localSheetId="37">[1]heso!$D$4</definedName>
    <definedName name="bhxh_2">heso!$D$4</definedName>
    <definedName name="bhxh_3" localSheetId="38">[1]heso!$E$4</definedName>
    <definedName name="bhxh_3" localSheetId="37">[1]heso!$E$4</definedName>
    <definedName name="bhxh_3">heso!$E$4</definedName>
    <definedName name="bhxh_nld">[2]Heso!$C$4</definedName>
    <definedName name="bhxh_vqg">[2]Heso!$D$4</definedName>
    <definedName name="bhyt">heso!$B$5</definedName>
    <definedName name="bhyt_1" localSheetId="38">[1]heso!$C$5</definedName>
    <definedName name="bhyt_1" localSheetId="37">[1]heso!$C$5</definedName>
    <definedName name="bhyt_1">heso!$C$5</definedName>
    <definedName name="bhyt_2" localSheetId="38">[1]heso!$D$5</definedName>
    <definedName name="bhyt_2" localSheetId="37">[1]heso!$D$5</definedName>
    <definedName name="bhyt_2">heso!$D$5</definedName>
    <definedName name="bhyt_nld">[2]Heso!$C$5</definedName>
    <definedName name="bhyt_vqg">[2]Heso!$D$5</definedName>
    <definedName name="chucvu" localSheetId="38">[1]chucvu!$A$3:$IV$65536</definedName>
    <definedName name="chucvu" localSheetId="37">[1]chucvu!$A$3:$IV$65536</definedName>
    <definedName name="chucvu">chucvu!$3:$65536</definedName>
    <definedName name="Coquancaptren_1">[3]Thamchieu!$C$3</definedName>
    <definedName name="Danhsach">#REF!</definedName>
    <definedName name="DD0130040_1000" localSheetId="37">'MẪU C13-TT LUONG'!$A$22:$F$45</definedName>
    <definedName name="DD0130040_1001" localSheetId="37">'MẪU C13-TT LUONG'!$A$22:$F$40</definedName>
    <definedName name="DD0130040_1002" localSheetId="37">'MẪU C13-TT LUONG'!$A$13:$F$37</definedName>
    <definedName name="DD0130040_1003" localSheetId="37">'MẪU C13-TT LUONG'!$A$13:$F$37</definedName>
    <definedName name="DD0130040_1004" localSheetId="37">'MẪU C13-TT LUONG'!$A$13:$F$41</definedName>
    <definedName name="DD0130040_1005" localSheetId="37">'MẪU C13-TT LUONG'!$A$13:$F$37</definedName>
    <definedName name="DD0130040_1006" localSheetId="37">'MẪU C13-TT LUONG'!$A$13:$F$37</definedName>
    <definedName name="DD0130040_1007" localSheetId="37">'MẪU C13-TT LUONG'!$A$13:$F$37</definedName>
    <definedName name="DD0130040_1008" localSheetId="37">'MẪU C13-TT LUONG'!$A$13:$F$37</definedName>
    <definedName name="DD0130040_1009" localSheetId="37">'MẪU C13-TT LUONG'!$A$13:$F$41</definedName>
    <definedName name="DD0130040_1010" localSheetId="37">'MẪU C13-TT LUONG'!$A$13:$F$37</definedName>
    <definedName name="DD0130040_1011" localSheetId="37">'MẪU C13-TT LUONG'!$A$13:$F$37</definedName>
    <definedName name="DD0130040_1012" localSheetId="37">'MẪU C13-TT LUONG'!$A$22:$F$48</definedName>
    <definedName name="DD0130040_1013" localSheetId="37">'MẪU C13-TT LUONG'!$A$9:$F$49</definedName>
    <definedName name="DD0130040_1014" localSheetId="37">'MẪU C13-TT LUONG'!$A$9:$F$39</definedName>
    <definedName name="DD0130040_1015" localSheetId="37">'MẪU C13-TT LUONG'!$A$9:$F$39</definedName>
    <definedName name="DD0130040_1016" localSheetId="37">'MẪU C13-TT LUONG'!$A$9:$F$39</definedName>
    <definedName name="DD0130040_1017" localSheetId="37">'MẪU C13-TT LUONG'!$A$9:$F$39</definedName>
    <definedName name="DD0130040_1018" localSheetId="37">'MẪU C13-TT LUONG'!$A$9:$F$26</definedName>
    <definedName name="DD0130040_1019" localSheetId="37">'MẪU C13-TT LUONG'!$A$9:$F$49</definedName>
    <definedName name="DD0130040_1020" localSheetId="37">'MẪU C13-TT LUONG'!$A$9:$F$26</definedName>
    <definedName name="DD0130040_1021" localSheetId="37">'MẪU C13-TT LUONG'!$A$9:$F$27</definedName>
    <definedName name="DD0130040_1022" localSheetId="37">'MẪU C13-TT LUONG'!$A$9:$F$39</definedName>
    <definedName name="DD0130040_1023" localSheetId="37">'MẪU C13-TT LUONG'!$A$9:$F$39</definedName>
    <definedName name="DD0130040_1024" localSheetId="37">'MẪU C13-TT LUONG'!$A$9:$F$39</definedName>
    <definedName name="DD0130040_1025" localSheetId="37">'MẪU C13-TT LUONG'!$A$9:$F$39</definedName>
    <definedName name="DD0130040_1026" localSheetId="37">'MẪU C13-TT LUONG'!$A$9:$F$26</definedName>
    <definedName name="DD0130040_1027" localSheetId="37">'MẪU C13-TT LUONG'!$A$9:$F$49</definedName>
    <definedName name="DD0130040_1028" localSheetId="37">'MẪU C13-TT LUONG'!$A$9:$F$26</definedName>
    <definedName name="DD0130040_1029" localSheetId="37">'MẪU C13-TT LUONG'!$A$9:$F$27</definedName>
    <definedName name="DD0130040_1030" localSheetId="37">'MẪU C13-TT LUONG'!$A$9:$F$39</definedName>
    <definedName name="DD0130040_1031" localSheetId="37">'MẪU C13-TT LUONG'!$A$9:$F$40</definedName>
    <definedName name="DD0130040_1032" localSheetId="37">'MẪU C13-TT LUONG'!$A$9:$F$40</definedName>
    <definedName name="DD0130040_1033" localSheetId="37">'MẪU C13-TT LUONG'!$A$22:$F$45</definedName>
    <definedName name="DD0130040_1034" localSheetId="37">'MẪU C13-TT LUONG'!$A$22:$F$40</definedName>
    <definedName name="DD0130040_1035" localSheetId="37">'MẪU C13-TT LUONG'!$A$13:$F$37</definedName>
    <definedName name="DD0130040_1036" localSheetId="37">'MẪU C13-TT LUONG'!$A$13:$F$40</definedName>
    <definedName name="DD0130040_1037" localSheetId="37">'MẪU C13-TT LUONG'!$A$13:$F$37</definedName>
    <definedName name="DD0130040_1038" localSheetId="37">'MẪU C13-TT LUONG'!$A$13:$F$37</definedName>
    <definedName name="DD0130040_1039" localSheetId="37">'MẪU C13-TT LUONG'!$A$13:$F$37</definedName>
    <definedName name="DD0130040_1040" localSheetId="37">'MẪU C13-TT LUONG'!$A$13:$F$37</definedName>
    <definedName name="DD0130040_1041" localSheetId="37">'MẪU C13-TT LUONG'!$A$13:$F$42</definedName>
    <definedName name="DD0130040_1042" localSheetId="37">'MẪU C13-TT LUONG'!$A$13:$F$37</definedName>
    <definedName name="DD0130040_1043" localSheetId="37">'MẪU C13-TT LUONG'!$A$13:$F$37</definedName>
    <definedName name="DD0130040_1044" localSheetId="37">'MẪU C13-TT LUONG'!$A$13:$F$37</definedName>
    <definedName name="DD0130040_1045" localSheetId="37">'MẪU C13-TT LUONG'!$A$13:$F$37</definedName>
    <definedName name="DD0130040_1046" localSheetId="37">'MẪU C13-TT LUONG'!$A$13:$F$37</definedName>
    <definedName name="DD0130040_1047" localSheetId="37">'MẪU C13-TT LUONG'!$A$13:$F$37</definedName>
    <definedName name="DD0130040_1048" localSheetId="37">'MẪU C13-TT LUONG'!$A$13:$F$37</definedName>
    <definedName name="DD0130040_1049" localSheetId="37">'MẪU C13-TT LUONG'!$A$13:$F$42</definedName>
    <definedName name="DD0130040_1050" localSheetId="37">'MẪU C13-TT LUONG'!$A$13:$F$37</definedName>
    <definedName name="DD0130040_1051" localSheetId="37">'MẪU C13-TT LUONG'!$A$13:$F$37</definedName>
    <definedName name="DD0130040_1052" localSheetId="37">'MẪU C13-TT LUONG'!$A$13:$F$37</definedName>
    <definedName name="DD0130040_1053" localSheetId="37">'MẪU C13-TT LUONG'!$A$13:$F$37</definedName>
    <definedName name="DD0130040_1054" localSheetId="37">'MẪU C13-TT LUONG'!$A$13:$F$37</definedName>
    <definedName name="DD0130040_1055" localSheetId="37">'MẪU C13-TT LUONG'!$A$13:$F$37</definedName>
    <definedName name="DD0130040_1056" localSheetId="37">'MẪU C13-TT LUONG'!$A$13:$F$37</definedName>
    <definedName name="DD0130040_1057" localSheetId="37">'MẪU C13-TT LUONG'!$A$13:$F$42</definedName>
    <definedName name="DD0130040_1058" localSheetId="37">'MẪU C13-TT LUONG'!$A$13:$F$37</definedName>
    <definedName name="DD0130040_1059" localSheetId="37">'MẪU C13-TT LUONG'!$A$13:$F$37</definedName>
    <definedName name="DD0130040_1060" localSheetId="37">'MẪU C13-TT LUONG'!$A$13:$F$37</definedName>
    <definedName name="DD0130040_1061" localSheetId="37">'MẪU C13-TT LUONG'!$A$13:$F$37</definedName>
    <definedName name="DD0130040_1062" localSheetId="37">'MẪU C13-TT LUONG'!$A$13:$F$37</definedName>
    <definedName name="DD0130040_1063" localSheetId="37">'MẪU C13-TT LUONG'!$A$13:$F$37</definedName>
    <definedName name="DD0130040_1064" localSheetId="37">'MẪU C13-TT LUONG'!$A$13:$F$37</definedName>
    <definedName name="DD0130040_1065" localSheetId="37">'MẪU C13-TT LUONG'!$A$13:$F$37</definedName>
    <definedName name="DD0130040_1066" localSheetId="37">'MẪU C13-TT LUONG'!$A$13:$F$43</definedName>
    <definedName name="DD0130040_1067" localSheetId="37">'MẪU C13-TT LUONG'!$A$13:$F$37</definedName>
    <definedName name="DD0130040_1068" localSheetId="37">'MẪU C13-TT LUONG'!$A$13:$F$37</definedName>
    <definedName name="DD0130040_1069" localSheetId="37">'MẪU C13-TT LUONG'!$A$13:$F$37</definedName>
    <definedName name="DD0130040_1070" localSheetId="37">'MẪU C13-TT LUONG'!$A$13:$F$37</definedName>
    <definedName name="DD0130040_1071" localSheetId="37">'MẪU C13-TT LUONG'!$A$13:$F$37</definedName>
    <definedName name="DD0130040_1072" localSheetId="37">'MẪU C13-TT LUONG'!$A$13:$F$37</definedName>
    <definedName name="DD0130040_1073" localSheetId="37">'MẪU C13-TT LUONG'!$A$13:$F$37</definedName>
    <definedName name="DD0130040_1074" localSheetId="37">'MẪU C13-TT LUONG'!$A$13:$F$43</definedName>
    <definedName name="DD0130040_1075" localSheetId="37">'MẪU C13-TT LUONG'!$A$13:$F$37</definedName>
    <definedName name="DD0130040_1076" localSheetId="37">'MẪU C13-TT LUONG'!$A$13:$F$37</definedName>
    <definedName name="DD0130040_1077" localSheetId="37">'MẪU C13-TT LUONG'!$A$13:$F$37</definedName>
    <definedName name="DD0130040_1078" localSheetId="37">'MẪU C13-TT LUONG'!$A$13:$F$37</definedName>
    <definedName name="DD0130040_1079" localSheetId="37">'MẪU C13-TT LUONG'!$A$13:$F$37</definedName>
    <definedName name="DD0130040_1080" localSheetId="37">'MẪU C13-TT LUONG'!$A$13:$F$43</definedName>
    <definedName name="DD0130040_1081" localSheetId="37">'MẪU C13-TT LUONG'!$A$13:$F$37</definedName>
    <definedName name="DD0130040_1082" localSheetId="37">'MẪU C13-TT LUONG'!$A$13:$F$37</definedName>
    <definedName name="DD0130040_1083" localSheetId="37">'MẪU C13-TT LUONG'!$A$13:$F$42</definedName>
    <definedName name="DD0130040_1084" localSheetId="37">'MẪU C13-TT LUONG'!$A$13:$F$37</definedName>
    <definedName name="DD0130040_1085" localSheetId="37">'MẪU C13-TT LUONG'!$A$13:$F$37</definedName>
    <definedName name="DD0130040_1086" localSheetId="37">'MẪU C13-TT LUONG'!$A$13:$F$37</definedName>
    <definedName name="DD0130040_1087" localSheetId="37">'MẪU C13-TT LUONG'!$A$13:$F$37</definedName>
    <definedName name="DD0130040_1088" localSheetId="37">'MẪU C13-TT LUONG'!$A$13:$F$40</definedName>
    <definedName name="DD0130040_1089" localSheetId="37">'MẪU C13-TT LUONG'!$A$13:$F$37</definedName>
    <definedName name="DD0130040_1090" localSheetId="37">'MẪU C13-TT LUONG'!$A$22:$F$40</definedName>
    <definedName name="DD0130040_1091" localSheetId="37">'MẪU C13-TT LUONG'!$A$22:$F$44</definedName>
    <definedName name="DD0130040_1092" localSheetId="37">'MẪU C13-TT LUONG'!$A$9:$F$40</definedName>
    <definedName name="DD0130040_1093" localSheetId="37">'MẪU C13-TT LUONG'!$A$9:$F$40</definedName>
    <definedName name="DD0130040_1094" localSheetId="37">'MẪU C13-TT LUONG'!$A$9:$F$39</definedName>
    <definedName name="DD0130040_1095" localSheetId="37">'MẪU C13-TT LUONG'!$A$9:$F$26</definedName>
    <definedName name="DD0130040_1096" localSheetId="37">'MẪU C13-TT LUONG'!$A$9:$F$26</definedName>
    <definedName name="DD0130040_1097" localSheetId="37">'MẪU C13-TT LUONG'!$A$9:$F$48</definedName>
    <definedName name="DD0130040_1098" localSheetId="37">'MẪU C13-TT LUONG'!$A$9:$F$26</definedName>
    <definedName name="DD0130040_1099" localSheetId="37">'MẪU C13-TT LUONG'!$A$9:$F$39</definedName>
    <definedName name="DD0130040_1100" localSheetId="37">'MẪU C13-TT LUONG'!$A$9:$F$39</definedName>
    <definedName name="DD0130040_1101" localSheetId="37">'MẪU C13-TT LUONG'!$A$9:$F$39</definedName>
    <definedName name="DD0130040_1102" localSheetId="37">'MẪU C13-TT LUONG'!$A$9:$F$39</definedName>
    <definedName name="DD0130040_1103" localSheetId="37">'MẪU C13-TT LUONG'!$A$9:$F$26</definedName>
    <definedName name="DD0130040_1104" localSheetId="37">'MẪU C13-TT LUONG'!$A$9:$F$26</definedName>
    <definedName name="DD0130040_1105" localSheetId="37">'MẪU C13-TT LUONG'!$A$9:$F$48</definedName>
    <definedName name="DD0130040_1106" localSheetId="37">'MẪU C13-TT LUONG'!$A$9:$F$26</definedName>
    <definedName name="DD0130040_1107" localSheetId="37">'MẪU C13-TT LUONG'!$A$9:$F$39</definedName>
    <definedName name="DD0130040_1108" localSheetId="37">'MẪU C13-TT LUONG'!$A$9:$F$39</definedName>
    <definedName name="DD0130040_1109" localSheetId="37">'MẪU C13-TT LUONG'!$A$9:$F$39</definedName>
    <definedName name="DD0130040_1110" localSheetId="37">'MẪU C13-TT LUONG'!$A$9:$F$39</definedName>
    <definedName name="DD0130040_1111" localSheetId="37">'MẪU C13-TT LUONG'!$A$9:$F$48</definedName>
    <definedName name="DD0130040_1112" localSheetId="37">'MẪU C13-TT LUONG'!$A$22:$F$45</definedName>
    <definedName name="DD0130040_1113" localSheetId="37">'MẪU C13-TT LUONG'!$A$13:$F$37</definedName>
    <definedName name="DD0130040_1114" localSheetId="37">'MẪU C13-TT LUONG'!$A$13:$F$37</definedName>
    <definedName name="DD0130040_1115" localSheetId="37">'MẪU C13-TT LUONG'!$A$13:$F$40</definedName>
    <definedName name="DD0130040_1116" localSheetId="37">'MẪU C13-TT LUONG'!$A$13:$F$37</definedName>
    <definedName name="DD0130040_1117" localSheetId="37">'MẪU C13-TT LUONG'!$A$13:$F$37</definedName>
    <definedName name="DD0130040_1118" localSheetId="37">'MẪU C13-TT LUONG'!$A$13:$F$37</definedName>
    <definedName name="DD0130040_1119" localSheetId="37">'MẪU C13-TT LUONG'!$A$13:$F$37</definedName>
    <definedName name="DD0130040_1120" localSheetId="37">'MẪU C13-TT LUONG'!$A$13:$F$40</definedName>
    <definedName name="DD0130040_1121" localSheetId="37">'MẪU C13-TT LUONG'!$A$13:$F$37</definedName>
    <definedName name="DD0130040_1122" localSheetId="37">'MẪU C13-TT LUONG'!$A$13:$F$37</definedName>
    <definedName name="DD0130040_1123" localSheetId="37">'MẪU C13-TT LUONG'!$A$22:$F$40</definedName>
    <definedName name="DD0130040_1124" localSheetId="37">'MẪU C13-TT LUONG'!$A$22:$F$44</definedName>
    <definedName name="DD0130040_1125" localSheetId="37">'MẪU C13-TT LUONG'!$A$9:$F$40</definedName>
    <definedName name="DD0130040_1126" localSheetId="37">'MẪU C13-TT LUONG'!$A$9:$F$40</definedName>
    <definedName name="DD0130040_1127" localSheetId="37">'MẪU C13-TT LUONG'!$A$9:$F$39</definedName>
    <definedName name="DD0130040_1128" localSheetId="37">'MẪU C13-TT LUONG'!$A$9:$F$26</definedName>
    <definedName name="DD0130040_1129" localSheetId="37">'MẪU C13-TT LUONG'!$A$9:$F$26</definedName>
    <definedName name="DD0130040_1130" localSheetId="37">'MẪU C13-TT LUONG'!$A$9:$F$48</definedName>
    <definedName name="DD0130040_1131" localSheetId="37">'MẪU C13-TT LUONG'!$A$9:$F$26</definedName>
    <definedName name="DD0130040_1132" localSheetId="37">'MẪU C13-TT LUONG'!$A$9:$F$39</definedName>
    <definedName name="DD0130040_1133" localSheetId="37">'MẪU C13-TT LUONG'!$A$9:$F$39</definedName>
    <definedName name="DD0130040_1134" localSheetId="37">'MẪU C13-TT LUONG'!$A$9:$F$39</definedName>
    <definedName name="DD0130040_1135" localSheetId="37">'MẪU C13-TT LUONG'!$A$9:$F$39</definedName>
    <definedName name="DD0130040_1136" localSheetId="37">'MẪU C13-TT LUONG'!$A$9:$F$26</definedName>
    <definedName name="DD0130040_1137" localSheetId="37">'MẪU C13-TT LUONG'!$A$9:$F$26</definedName>
    <definedName name="DD0130040_1138" localSheetId="37">'MẪU C13-TT LUONG'!$A$9:$F$48</definedName>
    <definedName name="DD0130040_1139" localSheetId="37">'MẪU C13-TT LUONG'!$A$9:$F$26</definedName>
    <definedName name="DD0130040_1140" localSheetId="37">'MẪU C13-TT LUONG'!$A$9:$F$39</definedName>
    <definedName name="DD0130040_1141" localSheetId="37">'MẪU C13-TT LUONG'!$A$9:$F$39</definedName>
    <definedName name="DD0130040_1142" localSheetId="37">'MẪU C13-TT LUONG'!$A$9:$F$39</definedName>
    <definedName name="DD0130040_1143" localSheetId="37">'MẪU C13-TT LUONG'!$A$9:$F$39</definedName>
    <definedName name="DD0130040_1144" localSheetId="37">'MẪU C13-TT LUONG'!$A$9:$F$48</definedName>
    <definedName name="DD0130040_1145" localSheetId="37">'MẪU C13-TT LUONG'!$A$22:$F$45</definedName>
    <definedName name="DD0130040_1146" localSheetId="37">'MẪU C13-TT LUONG'!$A$13:$F$37</definedName>
    <definedName name="DD0130040_1147" localSheetId="37">'MẪU C13-TT LUONG'!$A$13:$F$37</definedName>
    <definedName name="DD0130040_1148" localSheetId="37">'MẪU C13-TT LUONG'!$A$13:$F$37</definedName>
    <definedName name="DD0130040_1149" localSheetId="37">'MẪU C13-TT LUONG'!$A$13:$F$40</definedName>
    <definedName name="DD0130040_1150" localSheetId="37">'MẪU C13-TT LUONG'!$A$13:$F$37</definedName>
    <definedName name="DD0130040_1151" localSheetId="37">'MẪU C13-TT LUONG'!$A$13:$F$37</definedName>
    <definedName name="DD0130040_1152" localSheetId="37">'MẪU C13-TT LUONG'!$A$13:$F$37</definedName>
    <definedName name="DD0130040_1153" localSheetId="37">'MẪU C13-TT LUONG'!$A$13:$F$37</definedName>
    <definedName name="DD0130040_1154" localSheetId="37">'MẪU C13-TT LUONG'!$A$13:$F$37</definedName>
    <definedName name="DD0130040_1155" localSheetId="37">'MẪU C13-TT LUONG'!$A$13:$F$37</definedName>
    <definedName name="DD0130040_1156" localSheetId="37">'MẪU C13-TT LUONG'!$A$13:$F$37</definedName>
    <definedName name="DD0130040_1157" localSheetId="37">'MẪU C13-TT LUONG'!$A$13:$F$42</definedName>
    <definedName name="DD0130040_1158" localSheetId="37">'MẪU C13-TT LUONG'!$A$13:$F$37</definedName>
    <definedName name="DD0130040_1159" localSheetId="37">'MẪU C13-TT LUONG'!$A$13:$F$37</definedName>
    <definedName name="DD0130040_1160" localSheetId="37">'MẪU C13-TT LUONG'!$A$13:$F$37</definedName>
    <definedName name="DD0130040_1161" localSheetId="37">'MẪU C13-TT LUONG'!$A$13:$F$37</definedName>
    <definedName name="DD0130040_1162" localSheetId="37">'MẪU C13-TT LUONG'!$A$13:$F$40</definedName>
    <definedName name="DD0130040_1163" localSheetId="37">'MẪU C13-TT LUONG'!$A$13:$F$37</definedName>
    <definedName name="DD0130040_1164" localSheetId="37">'MẪU C13-TT LUONG'!$A$22:$F$40</definedName>
    <definedName name="DD0130040_1165" localSheetId="37">'MẪU C13-TT LUONG'!$A$22:$F$44</definedName>
    <definedName name="DD0130040_1166" localSheetId="37">'MẪU C13-TT LUONG'!$A$9:$F$40</definedName>
    <definedName name="DD0130040_1167" localSheetId="37">'MẪU C13-TT LUONG'!$A$9:$F$40</definedName>
    <definedName name="DD0130040_1168" localSheetId="37">'MẪU C13-TT LUONG'!$A$9:$F$39</definedName>
    <definedName name="DD0130040_1169" localSheetId="37">'MẪU C13-TT LUONG'!$A$9:$F$26</definedName>
    <definedName name="DD0130040_1170" localSheetId="37">'MẪU C13-TT LUONG'!$A$9:$F$26</definedName>
    <definedName name="DD0130040_1171" localSheetId="37">'MẪU C13-TT LUONG'!$A$9:$F$48</definedName>
    <definedName name="DD0130040_1172" localSheetId="37">'MẪU C13-TT LUONG'!$A$9:$F$26</definedName>
    <definedName name="DD0130040_1173" localSheetId="37">'MẪU C13-TT LUONG'!$A$9:$F$39</definedName>
    <definedName name="DD0130040_1174" localSheetId="37">'MẪU C13-TT LUONG'!$A$9:$F$39</definedName>
    <definedName name="DD0130040_1175" localSheetId="37">'MẪU C13-TT LUONG'!$A$9:$F$39</definedName>
    <definedName name="DD0130040_1176" localSheetId="37">'MẪU C13-TT LUONG'!$A$9:$F$39</definedName>
    <definedName name="DD0130040_1177" localSheetId="37">'MẪU C13-TT LUONG'!$A$9:$F$26</definedName>
    <definedName name="DD0130040_1178" localSheetId="37">'MẪU C13-TT LUONG'!$A$9:$F$26</definedName>
    <definedName name="DD0130040_1179" localSheetId="37">'MẪU C13-TT LUONG'!$A$9:$F$48</definedName>
    <definedName name="DD0130040_1180" localSheetId="37">'MẪU C13-TT LUONG'!$A$9:$F$26</definedName>
    <definedName name="DD0130040_1181" localSheetId="37">'MẪU C13-TT LUONG'!$A$9:$F$39</definedName>
    <definedName name="DD0130040_1182" localSheetId="37">'MẪU C13-TT LUONG'!$A$9:$F$39</definedName>
    <definedName name="DD0130040_1183" localSheetId="37">'MẪU C13-TT LUONG'!$A$9:$F$39</definedName>
    <definedName name="DD0130040_1184" localSheetId="37">'MẪU C13-TT LUONG'!$A$9:$F$39</definedName>
    <definedName name="DD0130040_1185" localSheetId="37">'MẪU C13-TT LUONG'!$A$9:$F$48</definedName>
    <definedName name="DD0130040_1186" localSheetId="37">'MẪU C13-TT LUONG'!$A$22:$F$45</definedName>
    <definedName name="DD0130040_1187" localSheetId="37">'MẪU C13-TT LUONG'!$A$13:$F$37</definedName>
    <definedName name="DD0130040_1188" localSheetId="37">'MẪU C13-TT LUONG'!$A$13:$F$37</definedName>
    <definedName name="DD0130040_1189" localSheetId="37">'MẪU C13-TT LUONG'!$A$13:$F$40</definedName>
    <definedName name="DD0130040_1190" localSheetId="37">'MẪU C13-TT LUONG'!$A$13:$F$37</definedName>
    <definedName name="DD0130040_1191" localSheetId="37">'MẪU C13-TT LUONG'!$A$13:$F$37</definedName>
    <definedName name="DD0130040_1192" localSheetId="37">'MẪU C13-TT LUONG'!$A$13:$F$37</definedName>
    <definedName name="DD0130040_1193" localSheetId="37">'MẪU C13-TT LUONG'!$A$13:$F$37</definedName>
    <definedName name="DD0130040_1194" localSheetId="37">'MẪU C13-TT LUONG'!$A$13:$F$40</definedName>
    <definedName name="DD0130040_1195" localSheetId="37">'MẪU C13-TT LUONG'!$A$13:$F$37</definedName>
    <definedName name="DD0130040_1196" localSheetId="37">'MẪU C13-TT LUONG'!$A$13:$F$37</definedName>
    <definedName name="DD0130040_1197" localSheetId="37">'MẪU C13-TT LUONG'!$A$22:$F$40</definedName>
    <definedName name="DD0130040_1198" localSheetId="37">'MẪU C13-TT LUONG'!$A$22:$F$44</definedName>
    <definedName name="DD0130040_1199" localSheetId="37">'MẪU C13-TT LUONG'!$A$9:$F$40</definedName>
    <definedName name="DD0130040_1200" localSheetId="37">'MẪU C13-TT LUONG'!$A$9:$F$40</definedName>
    <definedName name="DD0130040_1201" localSheetId="37">'MẪU C13-TT LUONG'!$A$9:$F$39</definedName>
    <definedName name="DD0130040_1202" localSheetId="37">'MẪU C13-TT LUONG'!$A$9:$F$26</definedName>
    <definedName name="DD0130040_1203" localSheetId="37">'MẪU C13-TT LUONG'!$A$9:$F$26</definedName>
    <definedName name="DD0130040_1204" localSheetId="37">'MẪU C13-TT LUONG'!$A$9:$F$48</definedName>
    <definedName name="DD0130040_1205" localSheetId="37">'MẪU C13-TT LUONG'!$A$9:$F$26</definedName>
    <definedName name="DD0130040_1206" localSheetId="37">'MẪU C13-TT LUONG'!$A$9:$F$39</definedName>
    <definedName name="DD0130040_1207" localSheetId="37">'MẪU C13-TT LUONG'!$A$9:$F$39</definedName>
    <definedName name="DD0130040_1208" localSheetId="37">'MẪU C13-TT LUONG'!$A$9:$F$39</definedName>
    <definedName name="DD0130040_1209" localSheetId="37">'MẪU C13-TT LUONG'!$A$9:$F$39</definedName>
    <definedName name="DD0130040_1210" localSheetId="37">'MẪU C13-TT LUONG'!$A$9:$F$26</definedName>
    <definedName name="DD0130040_1211" localSheetId="37">'MẪU C13-TT LUONG'!$A$9:$F$26</definedName>
    <definedName name="DD0130040_1212" localSheetId="37">'MẪU C13-TT LUONG'!$A$9:$F$48</definedName>
    <definedName name="DD0130040_1213" localSheetId="37">'MẪU C13-TT LUONG'!$A$9:$F$26</definedName>
    <definedName name="DD0130040_1214" localSheetId="37">'MẪU C13-TT LUONG'!$A$9:$F$39</definedName>
    <definedName name="DD0130040_1215" localSheetId="37">'MẪU C13-TT LUONG'!$A$9:$F$39</definedName>
    <definedName name="DD0130040_1216" localSheetId="37">'MẪU C13-TT LUONG'!$A$9:$F$39</definedName>
    <definedName name="DD0130040_1217" localSheetId="37">'MẪU C13-TT LUONG'!$A$9:$F$39</definedName>
    <definedName name="DD0130040_1218" localSheetId="37">'MẪU C13-TT LUONG'!$A$9:$F$48</definedName>
    <definedName name="DD0130040_1219" localSheetId="37">'MẪU C13-TT LUONG'!$A$22:$F$45</definedName>
    <definedName name="DD0130040_1220" localSheetId="37">'MẪU C13-TT LUONG'!$A$13:$F$37</definedName>
    <definedName name="DD0130040_1221" localSheetId="37">'MẪU C13-TT LUONG'!$A$13:$F$37</definedName>
    <definedName name="DD0130040_1222" localSheetId="37">'MẪU C13-TT LUONG'!$A$13:$F$37</definedName>
    <definedName name="DD0130040_1223" localSheetId="37">'MẪU C13-TT LUONG'!$A$13:$F$40</definedName>
    <definedName name="DD0130040_1224" localSheetId="37">'MẪU C13-TT LUONG'!$A$13:$F$37</definedName>
    <definedName name="DD0130040_1225" localSheetId="37">'MẪU C13-TT LUONG'!$A$13:$F$37</definedName>
    <definedName name="DD0130040_1226" localSheetId="37">'MẪU C13-TT LUONG'!$A$13:$F$37</definedName>
    <definedName name="DD0130040_1227" localSheetId="37">'MẪU C13-TT LUONG'!$A$13:$F$37</definedName>
    <definedName name="DD0130040_1228" localSheetId="37">'MẪU C13-TT LUONG'!$A$13:$F$37</definedName>
    <definedName name="DD0130040_1229" localSheetId="37">'MẪU C13-TT LUONG'!$A$13:$F$37</definedName>
    <definedName name="DD0130040_1230" localSheetId="37">'MẪU C13-TT LUONG'!$A$13:$F$37</definedName>
    <definedName name="DD0130040_1231" localSheetId="37">'MẪU C13-TT LUONG'!$A$13:$F$42</definedName>
    <definedName name="DD0130040_1232" localSheetId="37">'MẪU C13-TT LUONG'!$A$13:$F$37</definedName>
    <definedName name="DD0130040_1233" localSheetId="37">'MẪU C13-TT LUONG'!$A$13:$F$37</definedName>
    <definedName name="DD0130040_1234" localSheetId="37">'MẪU C13-TT LUONG'!$A$13:$F$37</definedName>
    <definedName name="DD0130040_1235" localSheetId="37">'MẪU C13-TT LUONG'!$A$13:$F$37</definedName>
    <definedName name="DD0130040_1236" localSheetId="37">'MẪU C13-TT LUONG'!$A$13:$F$40</definedName>
    <definedName name="DD0130040_1237" localSheetId="37">'MẪU C13-TT LUONG'!$A$13:$F$37</definedName>
    <definedName name="DD0130040_1238" localSheetId="37">'MẪU C13-TT LUONG'!$A$22:$F$40</definedName>
    <definedName name="DD0130040_1239" localSheetId="37">'MẪU C13-TT LUONG'!$A$22:$F$44</definedName>
    <definedName name="DD0130040_1240" localSheetId="37">'MẪU C13-TT LUONG'!$A$9:$F$40</definedName>
    <definedName name="DD0130040_1241" localSheetId="37">'MẪU C13-TT LUONG'!$A$9:$F$40</definedName>
    <definedName name="DD0130040_1242" localSheetId="37">'MẪU C13-TT LUONG'!$A$9:$F$39</definedName>
    <definedName name="DD0130040_1243" localSheetId="37">'MẪU C13-TT LUONG'!$A$9:$F$26</definedName>
    <definedName name="DD0130040_1244" localSheetId="37">'MẪU C13-TT LUONG'!$A$9:$F$26</definedName>
    <definedName name="DD0130040_1245" localSheetId="37">'MẪU C13-TT LUONG'!$A$9:$F$48</definedName>
    <definedName name="DD0130040_1246" localSheetId="37">'MẪU C13-TT LUONG'!$A$9:$F$26</definedName>
    <definedName name="DD0130040_1247" localSheetId="37">'MẪU C13-TT LUONG'!$A$9:$F$39</definedName>
    <definedName name="DD0130040_1248" localSheetId="37">'MẪU C13-TT LUONG'!$A$9:$F$39</definedName>
    <definedName name="DD0130040_1249" localSheetId="37">'MẪU C13-TT LUONG'!$A$9:$F$39</definedName>
    <definedName name="DD0130040_1250" localSheetId="37">'MẪU C13-TT LUONG'!$A$9:$F$39</definedName>
    <definedName name="DD0130040_1251" localSheetId="37">'MẪU C13-TT LUONG'!$A$9:$F$26</definedName>
    <definedName name="DD0130040_1252" localSheetId="37">'MẪU C13-TT LUONG'!$A$9:$F$26</definedName>
    <definedName name="DD0130040_1253" localSheetId="37">'MẪU C13-TT LUONG'!$A$9:$F$48</definedName>
    <definedName name="DD0130040_1254" localSheetId="37">'MẪU C13-TT LUONG'!$A$9:$F$26</definedName>
    <definedName name="DD0130040_1255" localSheetId="37">'MẪU C13-TT LUONG'!$A$9:$F$39</definedName>
    <definedName name="DD0130040_1256" localSheetId="37">'MẪU C13-TT LUONG'!$A$9:$F$39</definedName>
    <definedName name="DD0130040_1257" localSheetId="37">'MẪU C13-TT LUONG'!$A$9:$F$39</definedName>
    <definedName name="DD0130040_1258" localSheetId="37">'MẪU C13-TT LUONG'!$A$9:$F$39</definedName>
    <definedName name="DD0130040_1259" localSheetId="37">'MẪU C13-TT LUONG'!$A$9:$F$48</definedName>
    <definedName name="DD0130040_1260" localSheetId="37">'MẪU C13-TT LUONG'!$A$22:$F$45</definedName>
    <definedName name="DD0130040_1261" localSheetId="37">'MẪU C13-TT LUONG'!$A$13:$F$37</definedName>
    <definedName name="DD0130040_1262" localSheetId="37">'MẪU C13-TT LUONG'!$A$13:$F$37</definedName>
    <definedName name="DD0130040_1263" localSheetId="37">'MẪU C13-TT LUONG'!$A$13:$F$40</definedName>
    <definedName name="DD0130040_1264" localSheetId="37">'MẪU C13-TT LUONG'!$A$13:$F$37</definedName>
    <definedName name="DD0130040_1265" localSheetId="37">'MẪU C13-TT LUONG'!$A$13:$F$37</definedName>
    <definedName name="DD0130040_1266" localSheetId="37">'MẪU C13-TT LUONG'!$A$13:$F$37</definedName>
    <definedName name="DD0130040_1267" localSheetId="37">'MẪU C13-TT LUONG'!$A$13:$F$37</definedName>
    <definedName name="DD0130040_1268" localSheetId="37">'MẪU C13-TT LUONG'!$A$13:$F$40</definedName>
    <definedName name="DD0130040_1269" localSheetId="37">'MẪU C13-TT LUONG'!$A$13:$F$37</definedName>
    <definedName name="DD0130040_1270" localSheetId="37">'MẪU C13-TT LUONG'!$A$13:$F$37</definedName>
    <definedName name="DD0130040_1271" localSheetId="37">'MẪU C13-TT LUONG'!$A$22:$F$40</definedName>
    <definedName name="DD0130040_1272" localSheetId="37">'MẪU C13-TT LUONG'!$A$22:$F$44</definedName>
    <definedName name="DD0130040_1273" localSheetId="37">'MẪU C13-TT LUONG'!$A$9:$F$40</definedName>
    <definedName name="DD0130040_1274" localSheetId="37">'MẪU C13-TT LUONG'!$A$9:$F$40</definedName>
    <definedName name="DD0130040_1275" localSheetId="37">'MẪU C13-TT LUONG'!$A$9:$F$39</definedName>
    <definedName name="DD0130040_1276" localSheetId="37">'MẪU C13-TT LUONG'!$A$9:$F$26</definedName>
    <definedName name="DD0130040_1277" localSheetId="37">'MẪU C13-TT LUONG'!$A$9:$F$26</definedName>
    <definedName name="DD0130040_1278" localSheetId="37">'MẪU C13-TT LUONG'!$A$9:$F$48</definedName>
    <definedName name="DD0130040_1279" localSheetId="37">'MẪU C13-TT LUONG'!$A$9:$F$26</definedName>
    <definedName name="DD0130040_1280" localSheetId="37">'MẪU C13-TT LUONG'!$A$9:$F$39</definedName>
    <definedName name="DD0130040_1281" localSheetId="37">'MẪU C13-TT LUONG'!$A$9:$F$39</definedName>
    <definedName name="DD0130040_1282" localSheetId="37">'MẪU C13-TT LUONG'!$A$9:$F$39</definedName>
    <definedName name="DD0130040_1283" localSheetId="37">'MẪU C13-TT LUONG'!$A$9:$F$39</definedName>
    <definedName name="DD0130040_1284" localSheetId="37">'MẪU C13-TT LUONG'!$A$9:$F$26</definedName>
    <definedName name="DD0130040_1285" localSheetId="37">'MẪU C13-TT LUONG'!$A$9:$F$26</definedName>
    <definedName name="DD0130040_1286" localSheetId="37">'MẪU C13-TT LUONG'!$A$9:$F$48</definedName>
    <definedName name="DD0130040_1287" localSheetId="37">'MẪU C13-TT LUONG'!$A$9:$F$26</definedName>
    <definedName name="DD0130040_1288" localSheetId="37">'MẪU C13-TT LUONG'!$A$9:$F$39</definedName>
    <definedName name="DD0130040_1289" localSheetId="37">'MẪU C13-TT LUONG'!$A$9:$F$39</definedName>
    <definedName name="DD0130040_1290" localSheetId="37">'MẪU C13-TT LUONG'!$A$9:$F$39</definedName>
    <definedName name="DD0130040_1291" localSheetId="37">'MẪU C13-TT LUONG'!$A$9:$F$39</definedName>
    <definedName name="DD0130040_1292" localSheetId="37">'MẪU C13-TT LUONG'!$A$9:$F$48</definedName>
    <definedName name="DD0130040_1293" localSheetId="37">'MẪU C13-TT LUONG'!$A$22:$F$45</definedName>
    <definedName name="DD0130040_1294" localSheetId="37">'MẪU C13-TT LUONG'!$A$13:$F$37</definedName>
    <definedName name="DD0130040_1295" localSheetId="37">'MẪU C13-TT LUONG'!$A$13:$F$37</definedName>
    <definedName name="DD0130040_1296" localSheetId="37">'MẪU C13-TT LUONG'!$A$13:$F$37</definedName>
    <definedName name="DD0130040_1297" localSheetId="37">'MẪU C13-TT LUONG'!$A$13:$F$40</definedName>
    <definedName name="DD0130040_1298" localSheetId="37">'MẪU C13-TT LUONG'!$A$13:$F$37</definedName>
    <definedName name="DD0130040_1299" localSheetId="37">'MẪU C13-TT LUONG'!$A$13:$F$37</definedName>
    <definedName name="DD0130040_1300" localSheetId="37">'MẪU C13-TT LUONG'!$A$13:$F$37</definedName>
    <definedName name="DD0130040_1301" localSheetId="37">'MẪU C13-TT LUONG'!$A$13:$F$37</definedName>
    <definedName name="DD0130040_1302" localSheetId="37">'MẪU C13-TT LUONG'!$A$13:$F$40</definedName>
    <definedName name="DD0130040_1303" localSheetId="37">'MẪU C13-TT LUONG'!$A$13:$F$37</definedName>
    <definedName name="DD0130040_1304" localSheetId="37">'MẪU C13-TT LUONG'!$A$22:$F$40</definedName>
    <definedName name="DD0130040_1305" localSheetId="37">'MẪU C13-TT LUONG'!$A$22:$F$44</definedName>
    <definedName name="DD0130040_1306" localSheetId="37">'MẪU C13-TT LUONG'!$A$9:$F$40</definedName>
    <definedName name="DD0130040_1307" localSheetId="37">'MẪU C13-TT LUONG'!$A$9:$F$40</definedName>
    <definedName name="DD0130040_1308" localSheetId="37">'MẪU C13-TT LUONG'!$A$9:$F$39</definedName>
    <definedName name="DD0130040_1309" localSheetId="37">'MẪU C13-TT LUONG'!$A$9:$F$26</definedName>
    <definedName name="DD0130040_1310" localSheetId="37">'MẪU C13-TT LUONG'!$A$9:$F$26</definedName>
    <definedName name="DD0130040_1311" localSheetId="37">'MẪU C13-TT LUONG'!$A$9:$F$48</definedName>
    <definedName name="DD0130040_1312" localSheetId="37">'MẪU C13-TT LUONG'!$A$9:$F$26</definedName>
    <definedName name="DD0130040_1313" localSheetId="37">'MẪU C13-TT LUONG'!$A$9:$F$39</definedName>
    <definedName name="DD0130040_1314" localSheetId="37">'MẪU C13-TT LUONG'!$A$9:$F$39</definedName>
    <definedName name="DD0130040_1315" localSheetId="37">'MẪU C13-TT LUONG'!$A$9:$F$39</definedName>
    <definedName name="DD0130040_1316" localSheetId="37">'MẪU C13-TT LUONG'!$A$9:$F$39</definedName>
    <definedName name="DD0130040_1317" localSheetId="37">'MẪU C13-TT LUONG'!$A$9:$F$26</definedName>
    <definedName name="DD0130040_1318" localSheetId="37">'MẪU C13-TT LUONG'!$A$9:$F$26</definedName>
    <definedName name="DD0130040_1319" localSheetId="37">'MẪU C13-TT LUONG'!$A$9:$F$48</definedName>
    <definedName name="DD0130040_1320" localSheetId="37">'MẪU C13-TT LUONG'!$A$9:$F$26</definedName>
    <definedName name="DD0130040_1321" localSheetId="37">'MẪU C13-TT LUONG'!$A$9:$F$39</definedName>
    <definedName name="DD0130040_1322" localSheetId="37">'MẪU C13-TT LUONG'!$A$9:$F$39</definedName>
    <definedName name="DD0130040_1323" localSheetId="37">'MẪU C13-TT LUONG'!$A$9:$F$39</definedName>
    <definedName name="DD0130040_1324" localSheetId="37">'MẪU C13-TT LUONG'!$A$9:$F$39</definedName>
    <definedName name="DD0130040_1325" localSheetId="37">'MẪU C13-TT LUONG'!$A$9:$F$48</definedName>
    <definedName name="DD0130040_1326" localSheetId="37">'MẪU C13-TT LUONG'!$A$22:$F$45</definedName>
    <definedName name="DD0130040_1327" localSheetId="37">'MẪU C13-TT LUONG'!$A$13:$F$37</definedName>
    <definedName name="DD0130040_1328" localSheetId="37">'MẪU C13-TT LUONG'!$A$13:$F$37</definedName>
    <definedName name="DD0130040_1329" localSheetId="37">'MẪU C13-TT LUONG'!$A$13:$F$40</definedName>
    <definedName name="DD0130040_1330" localSheetId="37">'MẪU C13-TT LUONG'!$A$13:$F$37</definedName>
    <definedName name="DD0130040_1331" localSheetId="37">'MẪU C13-TT LUONG'!$A$13:$F$37</definedName>
    <definedName name="DD0130040_1332" localSheetId="37">'MẪU C13-TT LUONG'!$A$13:$F$37</definedName>
    <definedName name="DD0130040_1333" localSheetId="37">'MẪU C13-TT LUONG'!$A$13:$F$37</definedName>
    <definedName name="DD0130040_1334" localSheetId="37">'MẪU C13-TT LUONG'!$A$13:$F$40</definedName>
    <definedName name="DD0130040_1335" localSheetId="37">'MẪU C13-TT LUONG'!$A$13:$F$37</definedName>
    <definedName name="DD0130040_1336" localSheetId="37">'MẪU C13-TT LUONG'!$A$13:$F$37</definedName>
    <definedName name="DD0130040_1337" localSheetId="37">'MẪU C13-TT LUONG'!$A$22:$F$40</definedName>
    <definedName name="DD0130040_1338" localSheetId="37">'MẪU C13-TT LUONG'!$A$22:$F$44</definedName>
    <definedName name="DD0130040_1339" localSheetId="37">'MẪU C13-TT LUONG'!$A$9:$F$40</definedName>
    <definedName name="DD0130040_1340" localSheetId="37">'MẪU C13-TT LUONG'!$A$9:$F$40</definedName>
    <definedName name="DD0130040_1341" localSheetId="37">'MẪU C13-TT LUONG'!$A$9:$F$39</definedName>
    <definedName name="DD0130040_1342" localSheetId="37">'MẪU C13-TT LUONG'!$A$9:$F$26</definedName>
    <definedName name="DD0130040_1343" localSheetId="37">'MẪU C13-TT LUONG'!$A$9:$F$26</definedName>
    <definedName name="DD0130040_1344" localSheetId="37">'MẪU C13-TT LUONG'!$A$9:$F$48</definedName>
    <definedName name="DD0130040_1345" localSheetId="37">'MẪU C13-TT LUONG'!$A$9:$F$26</definedName>
    <definedName name="DD0130040_1346" localSheetId="37">'MẪU C13-TT LUONG'!$A$9:$F$39</definedName>
    <definedName name="DD0130040_1347" localSheetId="37">'MẪU C13-TT LUONG'!$A$9:$F$39</definedName>
    <definedName name="DD0130040_1348" localSheetId="37">'MẪU C13-TT LUONG'!$A$9:$F$39</definedName>
    <definedName name="DD0130040_1349" localSheetId="37">'MẪU C13-TT LUONG'!$A$9:$F$39</definedName>
    <definedName name="DD0130040_1350" localSheetId="37">'MẪU C13-TT LUONG'!$A$9:$F$26</definedName>
    <definedName name="DD0130040_1351" localSheetId="37">'MẪU C13-TT LUONG'!$A$9:$F$26</definedName>
    <definedName name="DD0130040_1352" localSheetId="37">'MẪU C13-TT LUONG'!$A$9:$F$48</definedName>
    <definedName name="DD0130040_1353" localSheetId="37">'MẪU C13-TT LUONG'!$A$9:$F$26</definedName>
    <definedName name="DD0130040_1354" localSheetId="37">'MẪU C13-TT LUONG'!$A$9:$F$39</definedName>
    <definedName name="DD0130040_1355" localSheetId="37">'MẪU C13-TT LUONG'!$A$9:$F$39</definedName>
    <definedName name="DD0130040_1356" localSheetId="37">'MẪU C13-TT LUONG'!$A$9:$F$39</definedName>
    <definedName name="DD0130040_1357" localSheetId="37">'MẪU C13-TT LUONG'!$A$9:$F$39</definedName>
    <definedName name="DD0130040_1358" localSheetId="37">'MẪU C13-TT LUONG'!$A$9:$F$48</definedName>
    <definedName name="DD0130040_1359" localSheetId="37">'MẪU C13-TT LUONG'!$A$22:$F$45</definedName>
    <definedName name="DD0130040_1360" localSheetId="37">'MẪU C13-TT LUONG'!$A$13:$F$37</definedName>
    <definedName name="DD0130040_1361" localSheetId="37">'MẪU C13-TT LUONG'!$A$13:$F$37</definedName>
    <definedName name="DD0130040_1362" localSheetId="37">'MẪU C13-TT LUONG'!$A$13:$F$37</definedName>
    <definedName name="DD0130040_1363" localSheetId="37">'MẪU C13-TT LUONG'!$A$13:$F$40</definedName>
    <definedName name="DD0130040_1364" localSheetId="37">'MẪU C13-TT LUONG'!$A$13:$F$37</definedName>
    <definedName name="DD0130040_1365" localSheetId="37">'MẪU C13-TT LUONG'!$A$13:$F$37</definedName>
    <definedName name="DD0130040_1366" localSheetId="37">'MẪU C13-TT LUONG'!$A$13:$F$37</definedName>
    <definedName name="DD0130040_1367" localSheetId="37">'MẪU C13-TT LUONG'!$A$12:$F$36</definedName>
    <definedName name="DD0130040_1368" localSheetId="37">'MẪU C13-TT LUONG'!$A$12:$F$39</definedName>
    <definedName name="DD0130040_1369" localSheetId="37">'MẪU C13-TT LUONG'!$A$12:$F$36</definedName>
    <definedName name="DD0130040_1370" localSheetId="37">'MẪU C13-TT LUONG'!$A$22:$F$39</definedName>
    <definedName name="DD0130040_1371" localSheetId="37">'MẪU C13-TT LUONG'!$A$22:$F$42</definedName>
    <definedName name="DD0130040_1372" localSheetId="37">'MẪU C13-TT LUONG'!$A$9:$F$39</definedName>
    <definedName name="DD0130040_1373" localSheetId="37">'MẪU C13-TT LUONG'!$A$9:$F$39</definedName>
    <definedName name="DD0130040_1374" localSheetId="37">'MẪU C13-TT LUONG'!$A$9:$F$38</definedName>
    <definedName name="DD0130040_1375" localSheetId="37">'MẪU C13-TT LUONG'!$A$9:$F$26</definedName>
    <definedName name="DD0130040_1376" localSheetId="37">'MẪU C13-TT LUONG'!$A$9:$F$25</definedName>
    <definedName name="DD0130040_1377" localSheetId="37">'MẪU C13-TT LUONG'!$A$9:$F$44</definedName>
    <definedName name="DD0130040_1378" localSheetId="37">'MẪU C13-TT LUONG'!$A$9:$F$25</definedName>
    <definedName name="DD0130040_1379" localSheetId="37">'MẪU C13-TT LUONG'!$A$9:$F$38</definedName>
    <definedName name="DD0130040_1380" localSheetId="37">'MẪU C13-TT LUONG'!$A$9:$F$38</definedName>
    <definedName name="DD0130040_1381" localSheetId="37">'MẪU C13-TT LUONG'!$A$9:$F$38</definedName>
    <definedName name="DD0130040_1382" localSheetId="37">'MẪU C13-TT LUONG'!$A$9:$F$38</definedName>
    <definedName name="DD0130040_1383" localSheetId="37">'MẪU C13-TT LUONG'!$A$9:$F$26</definedName>
    <definedName name="DD0130040_1384" localSheetId="37">'MẪU C13-TT LUONG'!$A$9:$F$25</definedName>
    <definedName name="DD0130040_1385" localSheetId="37">'MẪU C13-TT LUONG'!$A$9:$F$44</definedName>
    <definedName name="DD0130040_1386" localSheetId="37">'MẪU C13-TT LUONG'!$A$9:$F$25</definedName>
    <definedName name="DD0130040_1387" localSheetId="37">'MẪU C13-TT LUONG'!$A$9:$F$38</definedName>
    <definedName name="DD0130040_1388" localSheetId="37">'MẪU C13-TT LUONG'!$A$9:$F$38</definedName>
    <definedName name="DD0130040_1389" localSheetId="37">'MẪU C13-TT LUONG'!$A$9:$F$38</definedName>
    <definedName name="DD0130040_1390" localSheetId="37">'MẪU C13-TT LUONG'!$A$9:$F$38</definedName>
    <definedName name="DD0130040_1391" localSheetId="37">'MẪU C13-TT LUONG'!$A$9:$F$44</definedName>
    <definedName name="DD0130040_1392" localSheetId="37">'MẪU C13-TT LUONG'!$A$22:$F$43</definedName>
    <definedName name="DD0130040_1393" localSheetId="37">'MẪU C13-TT LUONG'!$A$12:$F$36</definedName>
    <definedName name="DD0130040_1394" localSheetId="37">'MẪU C13-TT LUONG'!$A$12:$F$36</definedName>
    <definedName name="DD0130040_1395" localSheetId="37">'MẪU C13-TT LUONG'!$A$12:$F$39</definedName>
    <definedName name="DD0130040_1396" localSheetId="37">'MẪU C13-TT LUONG'!$A$12:$F$36</definedName>
    <definedName name="DD0130040_1397" localSheetId="37">'MẪU C13-TT LUONG'!$A$12:$F$37</definedName>
    <definedName name="DD0130040_1398" localSheetId="37">'MẪU C13-TT LUONG'!$A$12:$F$37</definedName>
    <definedName name="DD0130040_1399" localSheetId="37">'MẪU C13-TT LUONG'!$A$12:$F$36</definedName>
    <definedName name="DD0130040_1400" localSheetId="37">'MẪU C13-TT LUONG'!$A$12:$F$39</definedName>
    <definedName name="DD0130040_1401" localSheetId="37">'MẪU C13-TT LUONG'!$A$12:$F$36</definedName>
    <definedName name="DD0130040_1402" localSheetId="37">'MẪU C13-TT LUONG'!$A$12:$F$36</definedName>
    <definedName name="DD0130040_1403" localSheetId="37">'MẪU C13-TT LUONG'!$A$22:$F$39</definedName>
    <definedName name="DD0130040_1404" localSheetId="37">'MẪU C13-TT LUONG'!$A$22:$F$42</definedName>
    <definedName name="DD0130040_1405" localSheetId="37">'MẪU C13-TT LUONG'!$A$9:$F$39</definedName>
    <definedName name="DD0130040_1406" localSheetId="37">'MẪU C13-TT LUONG'!$A$9:$F$39</definedName>
    <definedName name="DD0130040_1407" localSheetId="37">'MẪU C13-TT LUONG'!$A$9:$F$38</definedName>
    <definedName name="DD0130040_1408" localSheetId="37">'MẪU C13-TT LUONG'!$A$9:$F$26</definedName>
    <definedName name="DD0130040_1409" localSheetId="37">'MẪU C13-TT LUONG'!$A$9:$F$25</definedName>
    <definedName name="DD0130040_1410" localSheetId="37">'MẪU C13-TT LUONG'!$A$9:$F$44</definedName>
    <definedName name="DD0130040_1411" localSheetId="37">'MẪU C13-TT LUONG'!$A$9:$F$25</definedName>
    <definedName name="DD0130040_1412" localSheetId="37">'MẪU C13-TT LUONG'!$A$9:$F$38</definedName>
    <definedName name="DD0130040_1413" localSheetId="37">'MẪU C13-TT LUONG'!$A$9:$F$38</definedName>
    <definedName name="DD0130040_1414" localSheetId="37">'MẪU C13-TT LUONG'!$A$9:$F$38</definedName>
    <definedName name="DD0130040_1415" localSheetId="37">'MẪU C13-TT LUONG'!$A$9:$F$38</definedName>
    <definedName name="DD0130040_1416" localSheetId="37">'MẪU C13-TT LUONG'!$A$9:$F$26</definedName>
    <definedName name="DD0130040_1417" localSheetId="37">'MẪU C13-TT LUONG'!$A$9:$F$25</definedName>
    <definedName name="DD0130040_1418" localSheetId="37">'MẪU C13-TT LUONG'!$A$9:$F$44</definedName>
    <definedName name="DD0130040_1419" localSheetId="37">'MẪU C13-TT LUONG'!$A$9:$F$25</definedName>
    <definedName name="DD0130040_1420" localSheetId="37">'MẪU C13-TT LUONG'!$A$9:$F$38</definedName>
    <definedName name="DD0130040_1421" localSheetId="37">'MẪU C13-TT LUONG'!$A$9:$F$38</definedName>
    <definedName name="DD0130040_1422" localSheetId="37">'MẪU C13-TT LUONG'!$A$9:$F$38</definedName>
    <definedName name="DD0130040_1423" localSheetId="37">'MẪU C13-TT LUONG'!$A$9:$F$38</definedName>
    <definedName name="DD0130040_1424" localSheetId="37">'MẪU C13-TT LUONG'!$A$9:$F$44</definedName>
    <definedName name="DD0130040_1425" localSheetId="37">'MẪU C13-TT LUONG'!$A$22:$F$43</definedName>
    <definedName name="DD0130040_1426" localSheetId="37">'MẪU C13-TT LUONG'!$A$13:$F$36</definedName>
    <definedName name="DD0130040_1427" localSheetId="37">'MẪU C13-TT LUONG'!$A$13:$F$40</definedName>
    <definedName name="DD0130040_1428" localSheetId="37">'MẪU C13-TT LUONG'!$A$13:$F$36</definedName>
    <definedName name="DD0130040_1429" localSheetId="37">'MẪU C13-TT LUONG'!$A$13:$F$37</definedName>
    <definedName name="DD0130040_1430" localSheetId="37">'MẪU C13-TT LUONG'!$A$22:$F$42</definedName>
    <definedName name="DD0130040_1431" localSheetId="37">'MẪU C13-TT LUONG'!$A$9:$F$43</definedName>
    <definedName name="DD0130040_1432" localSheetId="37">'MẪU C13-TT LUONG'!$A$9:$F$38</definedName>
    <definedName name="DD0130040_1433" localSheetId="37">'MẪU C13-TT LUONG'!$A$9:$F$38</definedName>
    <definedName name="DD0130040_1434" localSheetId="37">'MẪU C13-TT LUONG'!$A$9:$F$38</definedName>
    <definedName name="DD0130040_1435" localSheetId="37">'MẪU C13-TT LUONG'!$A$9:$F$38</definedName>
    <definedName name="DD0130040_1436" localSheetId="37">'MẪU C13-TT LUONG'!$A$9:$F$26</definedName>
    <definedName name="DD0130040_1437" localSheetId="37">'MẪU C13-TT LUONG'!$A$9:$F$43</definedName>
    <definedName name="DD0130040_1438" localSheetId="37">'MẪU C13-TT LUONG'!$A$9:$F$26</definedName>
    <definedName name="DD0130040_1439" localSheetId="37">'MẪU C13-TT LUONG'!$A$9:$F$26</definedName>
    <definedName name="DD0130040_1440" localSheetId="37">'MẪU C13-TT LUONG'!$A$9:$F$38</definedName>
    <definedName name="DD0130040_1441" localSheetId="37">'MẪU C13-TT LUONG'!$A$9:$F$38</definedName>
    <definedName name="DD0130040_1442" localSheetId="37">'MẪU C13-TT LUONG'!$A$9:$F$38</definedName>
    <definedName name="DD0130040_1443" localSheetId="37">'MẪU C13-TT LUONG'!$A$9:$F$38</definedName>
    <definedName name="DD0130040_1444" localSheetId="37">'MẪU C13-TT LUONG'!$A$9:$F$26</definedName>
    <definedName name="DD0130040_1445" localSheetId="37">'MẪU C13-TT LUONG'!$A$9:$F$43</definedName>
    <definedName name="DD0130040_1446" localSheetId="37">'MẪU C13-TT LUONG'!$A$9:$F$26</definedName>
    <definedName name="DD0130040_1447" localSheetId="37">'MẪU C13-TT LUONG'!$A$9:$F$26</definedName>
    <definedName name="DD0130040_1448" localSheetId="37">'MẪU C13-TT LUONG'!$A$9:$F$38</definedName>
    <definedName name="DD0130040_1449" localSheetId="37">'MẪU C13-TT LUONG'!$A$9:$F$39</definedName>
    <definedName name="DD0130040_1450" localSheetId="37">'MẪU C13-TT LUONG'!$A$9:$F$39</definedName>
    <definedName name="DD0130040_1451" localSheetId="37">'MẪU C13-TT LUONG'!$A$22:$F$42</definedName>
    <definedName name="DD0130040_1452" localSheetId="37">'MẪU C13-TT LUONG'!$A$22:$F$39</definedName>
    <definedName name="DD0130040_1453" localSheetId="37">'MẪU C13-TT LUONG'!$A$13:$F$36</definedName>
    <definedName name="DD0130040_1454" localSheetId="37">'MẪU C13-TT LUONG'!$A$13:$F$39</definedName>
    <definedName name="DD0130040_1455" localSheetId="37">'MẪU C13-TT LUONG'!$A$13:$F$36</definedName>
    <definedName name="DD0130040_1456" localSheetId="37">'MẪU C13-TT LUONG'!$A$19:$F$39</definedName>
    <definedName name="DD0130040_1457" localSheetId="37">'MẪU C13-TT LUONG'!$A$19:$F$41</definedName>
    <definedName name="DD0130040_1458" localSheetId="37">'MẪU C13-TT LUONG'!$A$9:$F$39</definedName>
    <definedName name="DD0130040_1459" localSheetId="37">'MẪU C13-TT LUONG'!$A$9:$F$39</definedName>
    <definedName name="DD0130040_1460" localSheetId="37">'MẪU C13-TT LUONG'!$A$9:$F$38</definedName>
    <definedName name="DD0130040_1461" localSheetId="37">'MẪU C13-TT LUONG'!$A$9:$F$25</definedName>
    <definedName name="DD0130040_1462" localSheetId="37">'MẪU C13-TT LUONG'!$A$9:$F$24</definedName>
    <definedName name="DD0130040_1463" localSheetId="37">'MẪU C13-TT LUONG'!$A$9:$F$42</definedName>
    <definedName name="DD0130040_1464" localSheetId="37">'MẪU C13-TT LUONG'!$A$9:$F$24</definedName>
    <definedName name="DD0130040_1465" localSheetId="37">'MẪU C13-TT LUONG'!$A$9:$F$38</definedName>
    <definedName name="DD0130040_1466" localSheetId="37">'MẪU C13-TT LUONG'!$A$9:$F$38</definedName>
    <definedName name="DD0130040_1467" localSheetId="37">'MẪU C13-TT LUONG'!$A$9:$F$38</definedName>
    <definedName name="DD0130040_1468" localSheetId="37">'MẪU C13-TT LUONG'!$A$9:$F$38</definedName>
    <definedName name="DD0130040_1469" localSheetId="37">'MẪU C13-TT LUONG'!$A$9:$F$25</definedName>
    <definedName name="DD0130040_1470" localSheetId="37">'MẪU C13-TT LUONG'!$A$9:$F$24</definedName>
    <definedName name="DD0130040_1471" localSheetId="37">'MẪU C13-TT LUONG'!$A$9:$F$42</definedName>
    <definedName name="DD0130040_1472" localSheetId="37">'MẪU C13-TT LUONG'!$A$9:$F$24</definedName>
    <definedName name="DD0130040_1473" localSheetId="37">'MẪU C13-TT LUONG'!$A$9:$F$38</definedName>
    <definedName name="DD0130040_1474" localSheetId="37">'MẪU C13-TT LUONG'!$A$9:$F$38</definedName>
    <definedName name="DD0130040_1475" localSheetId="37">'MẪU C13-TT LUONG'!$A$9:$F$38</definedName>
    <definedName name="DD0130040_1476" localSheetId="37">'MẪU C13-TT LUONG'!$A$9:$F$38</definedName>
    <definedName name="DD0130040_1477" localSheetId="37">'MẪU C13-TT LUONG'!$A$9:$F$42</definedName>
    <definedName name="DD0130040_1478" localSheetId="37">'MẪU C13-TT LUONG'!$A$19:$F$42</definedName>
    <definedName name="DD0130040_1479" localSheetId="37">'MẪU C13-TT LUONG'!$A$9:$F$40</definedName>
    <definedName name="DD0130040_1480" localSheetId="37">'MẪU C13-TT LUONG'!$A$9:$F$36</definedName>
    <definedName name="DD0130040_1481" localSheetId="37">'MẪU C13-TT LUONG'!$A$9:$F$36</definedName>
    <definedName name="DD0130040_1482" localSheetId="37">'MẪU C13-TT LUONG'!$A$9:$F$36</definedName>
    <definedName name="DD0130040_1483" localSheetId="37">'MẪU C13-TT LUONG'!$A$9:$F$36</definedName>
    <definedName name="DD0130040_1484" localSheetId="37">'MẪU C13-TT LUONG'!$A$9:$F$32</definedName>
    <definedName name="DD0130040_1485" localSheetId="37">'MẪU C13-TT LUONG'!$A$9:$F$40</definedName>
    <definedName name="DD0130040_1486" localSheetId="37">'MẪU C13-TT LUONG'!$A$9:$F$32</definedName>
    <definedName name="DD0130040_1487" localSheetId="37">'MẪU C13-TT LUONG'!$A$9:$F$36</definedName>
    <definedName name="DD0130040_1488" localSheetId="37">'MẪU C13-TT LUONG'!$A$9:$F$36</definedName>
    <definedName name="DD0130040_1489" localSheetId="37">'MẪU C13-TT LUONG'!$A$9:$F$36</definedName>
    <definedName name="DD0130040_1490" localSheetId="37">'MẪU C13-TT LUONG'!$A$9:$F$36</definedName>
    <definedName name="DD0130040_1491" localSheetId="37">'MẪU C13-TT LUONG'!$A$9:$F$36</definedName>
    <definedName name="DD0130040_1492" localSheetId="37">'MẪU C13-TT LUONG'!$A$9:$F$32</definedName>
    <definedName name="DD0130040_1493" localSheetId="37">'MẪU C13-TT LUONG'!$A$9:$F$40</definedName>
    <definedName name="DD0130040_1494" localSheetId="37">'MẪU C13-TT LUONG'!$A$9:$F$32</definedName>
    <definedName name="DD0130040_1495" localSheetId="37">'MẪU C13-TT LUONG'!$A$9:$F$36</definedName>
    <definedName name="DD0130040_1496" localSheetId="37">'MẪU C13-TT LUONG'!$A$9:$F$36</definedName>
    <definedName name="DD0130040_1497" localSheetId="37">'MẪU C13-TT LUONG'!$A$9:$F$37</definedName>
    <definedName name="DD0130040_1498" localSheetId="37">'MẪU C13-TT LUONG'!$A$9:$F$37</definedName>
    <definedName name="DD0130040_1499" localSheetId="37">'MẪU C13-TT LUONG'!$A$13:$F$42</definedName>
    <definedName name="DD0130040_1500" localSheetId="37">'MẪU C13-TT LUONG'!$A$13:$F$37</definedName>
    <definedName name="DD0130040_1501" localSheetId="37">'MẪU C13-TT LUONG'!$A$13:$F$37</definedName>
    <definedName name="DD0130040_1502" localSheetId="37">'MẪU C13-TT LUONG'!$A$13:$F$37</definedName>
    <definedName name="DD0130040_1503" localSheetId="37">'MẪU C13-TT LUONG'!$A$13:$F$37</definedName>
    <definedName name="DD0130040_1504" localSheetId="37">'MẪU C13-TT LUONG'!$A$13:$F$36</definedName>
    <definedName name="DD0130040_1505" localSheetId="37">'MẪU C13-TT LUONG'!$A$13:$F$42</definedName>
    <definedName name="DD0130040_1506" localSheetId="37">'MẪU C13-TT LUONG'!$A$13:$F$36</definedName>
    <definedName name="DD0130040_1507" localSheetId="37">'MẪU C13-TT LUONG'!$A$13:$F$36</definedName>
    <definedName name="DD0130040_1508" localSheetId="37">'MẪU C13-TT LUONG'!$A$13:$F$37</definedName>
    <definedName name="DD0130040_1509" localSheetId="37">'MẪU C13-TT LUONG'!$A$13:$F$37</definedName>
    <definedName name="DD0130040_1510" localSheetId="37">'MẪU C13-TT LUONG'!$A$13:$F$37</definedName>
    <definedName name="DD0130040_1511" localSheetId="37">'MẪU C13-TT LUONG'!$A$13:$F$37</definedName>
    <definedName name="DD0130040_1512" localSheetId="37">'MẪU C13-TT LUONG'!$A$13:$F$36</definedName>
    <definedName name="DD0130040_1513" localSheetId="37">'MẪU C13-TT LUONG'!$A$13:$F$42</definedName>
    <definedName name="DD0130040_1514" localSheetId="37">'MẪU C13-TT LUONG'!$A$13:$F$36</definedName>
    <definedName name="DD0130040_1515" localSheetId="37">'MẪU C13-TT LUONG'!$A$13:$F$36</definedName>
    <definedName name="DD0130040_1516" localSheetId="37">'MẪU C13-TT LUONG'!$A$13:$F$37</definedName>
    <definedName name="DD0130040_1517" localSheetId="37">'MẪU C13-TT LUONG'!$A$13:$F$39</definedName>
    <definedName name="DD0130040_1518" localSheetId="37">'MẪU C13-TT LUONG'!$A$13:$F$43</definedName>
    <definedName name="DD0130040_1519" localSheetId="37">'MẪU C13-TT LUONG'!$A$13:$F$37</definedName>
    <definedName name="DD0130040_1520" localSheetId="37">'MẪU C13-TT LUONG'!$A$13:$F$37</definedName>
    <definedName name="DD0130040_1521" localSheetId="37">'MẪU C13-TT LUONG'!$A$13:$F$37</definedName>
    <definedName name="DD0130040_1522" localSheetId="37">'MẪU C13-TT LUONG'!$A$13:$F$37</definedName>
    <definedName name="DD0130040_1523" localSheetId="37">'MẪU C13-TT LUONG'!$A$13:$F$36</definedName>
    <definedName name="DD0130040_1524" localSheetId="37">'MẪU C13-TT LUONG'!$A$13:$F$43</definedName>
    <definedName name="DD0130040_1525" localSheetId="37">'MẪU C13-TT LUONG'!$A$13:$F$36</definedName>
    <definedName name="DD0130040_1526" localSheetId="37">'MẪU C13-TT LUONG'!$A$13:$F$37</definedName>
    <definedName name="DD0130040_1527" localSheetId="37">'MẪU C13-TT LUONG'!$A$13:$F$37</definedName>
    <definedName name="DD0130040_1528" localSheetId="37">'MẪU C13-TT LUONG'!$A$13:$F$37</definedName>
    <definedName name="DD0130040_1529" localSheetId="37">'MẪU C13-TT LUONG'!$A$13:$F$37</definedName>
    <definedName name="DD0130040_1530" localSheetId="37">'MẪU C13-TT LUONG'!$A$13:$F$37</definedName>
    <definedName name="DD0130040_1531" localSheetId="37">'MẪU C13-TT LUONG'!$A$13:$F$36</definedName>
    <definedName name="DD0130040_1532" localSheetId="37">'MẪU C13-TT LUONG'!$A$13:$F$43</definedName>
    <definedName name="DD0130040_1533" localSheetId="37">'MẪU C13-TT LUONG'!$A$13:$F$36</definedName>
    <definedName name="DD0130040_1534" localSheetId="37">'MẪU C13-TT LUONG'!$A$13:$F$37</definedName>
    <definedName name="DD0130040_1535" localSheetId="37">'MẪU C13-TT LUONG'!$A$13:$F$37</definedName>
    <definedName name="DD0130040_1536" localSheetId="37">'MẪU C13-TT LUONG'!$A$13:$F$37</definedName>
    <definedName name="DD0130040_1537" localSheetId="37">'MẪU C13-TT LUONG'!$A$13:$F$37</definedName>
    <definedName name="DD0130040_1538" localSheetId="37">'MẪU C13-TT LUONG'!$A$13:$F$37</definedName>
    <definedName name="DD0130040_1539" localSheetId="37">'MẪU C13-TT LUONG'!$A$13:$F$37</definedName>
    <definedName name="DD0130040_1540" localSheetId="37">'MẪU C13-TT LUONG'!$A$13:$F$36</definedName>
    <definedName name="DD0130040_1541" localSheetId="37">'MẪU C13-TT LUONG'!$A$13:$F$42</definedName>
    <definedName name="DD0130040_1542" localSheetId="37">'MẪU C13-TT LUONG'!$A$13:$F$36</definedName>
    <definedName name="DD0130040_1543" localSheetId="37">'MẪU C13-TT LUONG'!$A$13:$F$37</definedName>
    <definedName name="DD0130040_1544" localSheetId="37">'MẪU C13-TT LUONG'!$A$13:$F$37</definedName>
    <definedName name="DD0130040_1545" localSheetId="37">'MẪU C13-TT LUONG'!$A$13:$F$37</definedName>
    <definedName name="DD0130040_1546" localSheetId="37">'MẪU C13-TT LUONG'!$A$13:$F$37</definedName>
    <definedName name="DD0130040_1547" localSheetId="37">'MẪU C13-TT LUONG'!$A$13:$F$37</definedName>
    <definedName name="DD0130040_1548" localSheetId="37">'MẪU C13-TT LUONG'!$A$13:$F$36</definedName>
    <definedName name="DD0130040_1549" localSheetId="37">'MẪU C13-TT LUONG'!$A$13:$F$42</definedName>
    <definedName name="DD0130040_1550" localSheetId="37">'MẪU C13-TT LUONG'!$A$13:$F$36</definedName>
    <definedName name="DD0130040_1551" localSheetId="37">'MẪU C13-TT LUONG'!$A$13:$F$37</definedName>
    <definedName name="DD0130040_1552" localSheetId="37">'MẪU C13-TT LUONG'!$A$13:$F$37</definedName>
    <definedName name="DD0130040_1553" localSheetId="37">'MẪU C13-TT LUONG'!$A$13:$F$37</definedName>
    <definedName name="DD0130040_1554" localSheetId="37">'MẪU C13-TT LUONG'!$A$13:$F$37</definedName>
    <definedName name="DD0130040_1555" localSheetId="37">'MẪU C13-TT LUONG'!$A$13:$F$37</definedName>
    <definedName name="DD0130040_1556" localSheetId="37">'MẪU C13-TT LUONG'!$A$13:$F$36</definedName>
    <definedName name="DD0130040_1557" localSheetId="37">'MẪU C13-TT LUONG'!$A$13:$F$42</definedName>
    <definedName name="DD0130040_1558" localSheetId="37">'MẪU C13-TT LUONG'!$A$13:$F$36</definedName>
    <definedName name="DD0130040_1559" localSheetId="37">'MẪU C13-TT LUONG'!$A$13:$F$37</definedName>
    <definedName name="DD0130040_1560" localSheetId="37">'MẪU C13-TT LUONG'!$A$13:$F$37</definedName>
    <definedName name="DD0130040_1561" localSheetId="37">'MẪU C13-TT LUONG'!$A$13:$F$36</definedName>
    <definedName name="DD0130040_1562" localSheetId="37">'MẪU C13-TT LUONG'!$A$13:$F$40</definedName>
    <definedName name="DD0130040_1563" localSheetId="37">'MẪU C13-TT LUONG'!$A$13:$F$36</definedName>
    <definedName name="DD0130040_1564" localSheetId="37">'MẪU C13-TT LUONG'!$A$22:$F$40</definedName>
    <definedName name="DD0130040_1565" localSheetId="37">'MẪU C13-TT LUONG'!$A$22:$F$43</definedName>
    <definedName name="DD0130040_1566" localSheetId="37">'MẪU C13-TT LUONG'!$A$9:$F$40</definedName>
    <definedName name="DD0130040_1567" localSheetId="37">'MẪU C13-TT LUONG'!$A$9:$F$40</definedName>
    <definedName name="DD0130040_1568" localSheetId="37">'MẪU C13-TT LUONG'!$A$9:$F$39</definedName>
    <definedName name="DD0130040_1569" localSheetId="37">'MẪU C13-TT LUONG'!$A$9:$F$26</definedName>
    <definedName name="DD0130040_1570" localSheetId="37">'MẪU C13-TT LUONG'!$A$9:$F$26</definedName>
    <definedName name="DD0130040_1571" localSheetId="37">'MẪU C13-TT LUONG'!$A$9:$F$45</definedName>
    <definedName name="DD0130040_1572" localSheetId="37">'MẪU C13-TT LUONG'!$A$9:$F$26</definedName>
    <definedName name="DD0130040_1573" localSheetId="37">'MẪU C13-TT LUONG'!$A$9:$F$39</definedName>
    <definedName name="DD0130040_1574" localSheetId="37">'MẪU C13-TT LUONG'!$A$9:$F$39</definedName>
    <definedName name="DD0130040_1575" localSheetId="37">'MẪU C13-TT LUONG'!$A$9:$F$39</definedName>
    <definedName name="DD0130040_1576" localSheetId="37">'MẪU C13-TT LUONG'!$A$9:$F$39</definedName>
    <definedName name="DD0130040_1577" localSheetId="37">'MẪU C13-TT LUONG'!$A$9:$F$26</definedName>
    <definedName name="DD0130040_1578" localSheetId="37">'MẪU C13-TT LUONG'!$A$9:$F$26</definedName>
    <definedName name="DD0130040_1579" localSheetId="37">'MẪU C13-TT LUONG'!$A$9:$F$45</definedName>
    <definedName name="DD0130040_1580" localSheetId="37">'MẪU C13-TT LUONG'!$A$9:$F$26</definedName>
    <definedName name="DD0130040_1581" localSheetId="37">'MẪU C13-TT LUONG'!$A$9:$F$39</definedName>
    <definedName name="DD0130040_1582" localSheetId="37">'MẪU C13-TT LUONG'!$A$9:$F$39</definedName>
    <definedName name="DD0130040_1583" localSheetId="37">'MẪU C13-TT LUONG'!$A$9:$F$39</definedName>
    <definedName name="DD0130040_1584" localSheetId="37">'MẪU C13-TT LUONG'!$A$9:$F$39</definedName>
    <definedName name="DD0130040_1585" localSheetId="37">'MẪU C13-TT LUONG'!$A$9:$F$45</definedName>
    <definedName name="DD0130040_1586" localSheetId="37">'MẪU C13-TT LUONG'!$A$22:$F$44</definedName>
    <definedName name="DD0130040_1587" localSheetId="37">'MẪU C13-TT LUONG'!$A$13:$F$37</definedName>
    <definedName name="DD0130040_1588" localSheetId="37">'MẪU C13-TT LUONG'!$A$13:$F$36</definedName>
    <definedName name="DD0130040_1589" localSheetId="37">'MẪU C13-TT LUONG'!$A$13:$F$41</definedName>
    <definedName name="DD0130040_1590" localSheetId="37">'MẪU C13-TT LUONG'!$A$13:$F$36</definedName>
    <definedName name="DD0130040_1591" localSheetId="37">'MẪU C13-TT LUONG'!$A$13:$F$37</definedName>
    <definedName name="DD0130040_1592" localSheetId="37">'MẪU C13-TT LUONG'!$A$13:$F$37</definedName>
    <definedName name="DD0130040_1593" localSheetId="37">'MẪU C13-TT LUONG'!$A$13:$F$36</definedName>
    <definedName name="DD0130040_1594" localSheetId="37">'MẪU C13-TT LUONG'!$A$13:$F$41</definedName>
    <definedName name="DD0130040_1595" localSheetId="37">'MẪU C13-TT LUONG'!$A$13:$F$36</definedName>
    <definedName name="DD0130040_1596" localSheetId="37">'MẪU C13-TT LUONG'!$A$13:$F$37</definedName>
    <definedName name="DD0130040_1597" localSheetId="37">'MẪU C13-TT LUONG'!$A$22:$F$40</definedName>
    <definedName name="DD0130040_1598" localSheetId="37">'MẪU C13-TT LUONG'!$A$22:$F$43</definedName>
    <definedName name="DD0130040_1599" localSheetId="37">'MẪU C13-TT LUONG'!$A$9:$F$40</definedName>
    <definedName name="DD0130040_1600" localSheetId="37">'MẪU C13-TT LUONG'!$A$9:$F$40</definedName>
    <definedName name="DD0130040_1601" localSheetId="37">'MẪU C13-TT LUONG'!$A$9:$F$39</definedName>
    <definedName name="DD0130040_1602" localSheetId="37">'MẪU C13-TT LUONG'!$A$9:$F$26</definedName>
    <definedName name="DD0130040_1603" localSheetId="37">'MẪU C13-TT LUONG'!$A$9:$F$26</definedName>
    <definedName name="DD0130040_1604" localSheetId="37">'MẪU C13-TT LUONG'!$A$9:$F$45</definedName>
    <definedName name="DD0130040_1605" localSheetId="37">'MẪU C13-TT LUONG'!$A$9:$F$26</definedName>
    <definedName name="DD0130040_1606" localSheetId="37">'MẪU C13-TT LUONG'!$A$9:$F$39</definedName>
    <definedName name="DD0130040_1607" localSheetId="37">'MẪU C13-TT LUONG'!$A$9:$F$39</definedName>
    <definedName name="DD0130040_1608" localSheetId="37">'MẪU C13-TT LUONG'!$A$9:$F$39</definedName>
    <definedName name="DD0130040_1609" localSheetId="37">'MẪU C13-TT LUONG'!$A$9:$F$39</definedName>
    <definedName name="DD0130040_1610" localSheetId="37">'MẪU C13-TT LUONG'!$A$9:$F$26</definedName>
    <definedName name="DD0130040_1611" localSheetId="37">'MẪU C13-TT LUONG'!$A$9:$F$26</definedName>
    <definedName name="DD0130040_1612" localSheetId="37">'MẪU C13-TT LUONG'!$A$9:$F$45</definedName>
    <definedName name="DD0130040_1613" localSheetId="37">'MẪU C13-TT LUONG'!$A$9:$F$26</definedName>
    <definedName name="DD0130040_1614" localSheetId="37">'MẪU C13-TT LUONG'!$A$9:$F$39</definedName>
    <definedName name="DD0130040_1615" localSheetId="37">'MẪU C13-TT LUONG'!$A$9:$F$39</definedName>
    <definedName name="DD0130040_1616" localSheetId="37">'MẪU C13-TT LUONG'!$A$9:$F$39</definedName>
    <definedName name="DD0130040_1617" localSheetId="37">'MẪU C13-TT LUONG'!$A$9:$F$39</definedName>
    <definedName name="DD0130040_1618" localSheetId="37">'MẪU C13-TT LUONG'!$A$9:$F$45</definedName>
    <definedName name="DD0130040_1619" localSheetId="37">'MẪU C13-TT LUONG'!$A$22:$F$44</definedName>
    <definedName name="DD0130040_1620" localSheetId="37">'MẪU C13-TT LUONG'!$A$13:$F$37</definedName>
    <definedName name="DD0130040_1621" localSheetId="37">'MẪU C13-TT LUONG'!$A$13:$F$37</definedName>
    <definedName name="DD0130040_1622" localSheetId="37">'MẪU C13-TT LUONG'!$A$13:$F$36</definedName>
    <definedName name="DD0130040_1623" localSheetId="37">'MẪU C13-TT LUONG'!$A$13:$F$41</definedName>
    <definedName name="DD0130040_1624" localSheetId="37">'MẪU C13-TT LUONG'!$A$13:$F$36</definedName>
    <definedName name="DD0130040_1625" localSheetId="37">'MẪU C13-TT LUONG'!$A$13:$F$37</definedName>
    <definedName name="DD0130040_1626" localSheetId="37">'MẪU C13-TT LUONG'!$A$13:$F$37</definedName>
    <definedName name="DD0130040_1627" localSheetId="37">'MẪU C13-TT LUONG'!$A$13:$F$37</definedName>
    <definedName name="DD0130040_1628" localSheetId="37">'MẪU C13-TT LUONG'!$A$13:$F$37</definedName>
    <definedName name="DD0130040_1629" localSheetId="37">'MẪU C13-TT LUONG'!$A$13:$F$37</definedName>
    <definedName name="DD0130040_1630" localSheetId="37">'MẪU C13-TT LUONG'!$A$13:$F$36</definedName>
    <definedName name="DD0130040_1631" localSheetId="37">'MẪU C13-TT LUONG'!$A$13:$F$42</definedName>
    <definedName name="DD0130040_1632" localSheetId="37">'MẪU C13-TT LUONG'!$A$13:$F$36</definedName>
    <definedName name="DD0130040_1633" localSheetId="37">'MẪU C13-TT LUONG'!$A$13:$F$37</definedName>
    <definedName name="DD0130040_1634" localSheetId="37">'MẪU C13-TT LUONG'!$A$13:$F$37</definedName>
    <definedName name="DD0130040_1635" localSheetId="37">'MẪU C13-TT LUONG'!$A$13:$F$36</definedName>
    <definedName name="DD0130040_1636" localSheetId="37">'MẪU C13-TT LUONG'!$A$13:$F$43</definedName>
    <definedName name="DD0130040_1637" localSheetId="37">'MẪU C13-TT LUONG'!$A$13:$F$37</definedName>
    <definedName name="DD0130040_1638" localSheetId="37">'MẪU C13-TT LUONG'!$A$13:$F$37</definedName>
    <definedName name="DD0130040_1639" localSheetId="37">'MẪU C13-TT LUONG'!$A$13:$F$37</definedName>
    <definedName name="DD0130040_1640" localSheetId="37">'MẪU C13-TT LUONG'!$A$13:$F$37</definedName>
    <definedName name="DD0130040_1641" localSheetId="37">'MẪU C13-TT LUONG'!$A$13:$F$37</definedName>
    <definedName name="DD0130040_1642" localSheetId="37">'MẪU C13-TT LUONG'!$A$13:$F$43</definedName>
    <definedName name="DD0130040_1643" localSheetId="37">'MẪU C13-TT LUONG'!$A$13:$F$37</definedName>
    <definedName name="DD0130040_1644" localSheetId="37">'MẪU C13-TT LUONG'!$A$13:$F$37</definedName>
    <definedName name="DD0130040_1645" localSheetId="37">'MẪU C13-TT LUONG'!$A$13:$F$37</definedName>
    <definedName name="DD0130040_1646" localSheetId="37">'MẪU C13-TT LUONG'!$A$13:$F$37</definedName>
    <definedName name="DD0130040_1647" localSheetId="37">'MẪU C13-TT LUONG'!$A$13:$F$37</definedName>
    <definedName name="DD0130040_1648" localSheetId="37">'MẪU C13-TT LUONG'!$A$13:$F$37</definedName>
    <definedName name="DD0130040_1649" localSheetId="37">'MẪU C13-TT LUONG'!$A$13:$F$37</definedName>
    <definedName name="DD0130040_1650" localSheetId="37">'MẪU C13-TT LUONG'!$A$13:$F$43</definedName>
    <definedName name="DD0130040_1651" localSheetId="37">'MẪU C13-TT LUONG'!$A$13:$F$37</definedName>
    <definedName name="DD0130040_1652" localSheetId="37">'MẪU C13-TT LUONG'!$A$13:$F$37</definedName>
    <definedName name="DD0130040_1653" localSheetId="37">'MẪU C13-TT LUONG'!$A$13:$F$37</definedName>
    <definedName name="DD0130040_1654" localSheetId="37">'MẪU C13-TT LUONG'!$A$13:$F$39</definedName>
    <definedName name="DD0130040_1655" localSheetId="37">'MẪU C13-TT LUONG'!$A$13:$F$44</definedName>
    <definedName name="DD0130040_1656" localSheetId="37">'MẪU C13-TT LUONG'!$A$13:$F$37</definedName>
    <definedName name="DD0130040_1657" localSheetId="37">'MẪU C13-TT LUONG'!$A$13:$F$37</definedName>
    <definedName name="DD0130040_1658" localSheetId="37">'MẪU C13-TT LUONG'!$A$13:$F$37</definedName>
    <definedName name="DD0130040_1659" localSheetId="37">'MẪU C13-TT LUONG'!$A$13:$F$37</definedName>
    <definedName name="DD0130040_1660" localSheetId="37">'MẪU C13-TT LUONG'!$A$13:$F$37</definedName>
    <definedName name="DD0130040_1661" localSheetId="37">'MẪU C13-TT LUONG'!$A$13:$F$44</definedName>
    <definedName name="DD0130040_1662" localSheetId="37">'MẪU C13-TT LUONG'!$A$13:$F$37</definedName>
    <definedName name="DD0130040_1663" localSheetId="37">'MẪU C13-TT LUONG'!$A$13:$F$37</definedName>
    <definedName name="DD0130040_1664" localSheetId="37">'MẪU C13-TT LUONG'!$A$13:$F$37</definedName>
    <definedName name="DD0130040_1665" localSheetId="37">'MẪU C13-TT LUONG'!$A$13:$F$37</definedName>
    <definedName name="DD0130040_1666" localSheetId="37">'MẪU C13-TT LUONG'!$A$13:$F$37</definedName>
    <definedName name="DD0130040_1667" localSheetId="37">'MẪU C13-TT LUONG'!$A$13:$F$37</definedName>
    <definedName name="DD0130040_1668" localSheetId="37">'MẪU C13-TT LUONG'!$A$13:$F$37</definedName>
    <definedName name="DD0130040_1669" localSheetId="37">'MẪU C13-TT LUONG'!$A$13:$F$44</definedName>
    <definedName name="DD0130040_1670" localSheetId="37">'MẪU C13-TT LUONG'!$A$13:$F$37</definedName>
    <definedName name="DD0130040_1671" localSheetId="37">'MẪU C13-TT LUONG'!$A$13:$F$37</definedName>
    <definedName name="DD0130040_1672" localSheetId="37">'MẪU C13-TT LUONG'!$A$13:$F$37</definedName>
    <definedName name="DD0130040_1673" localSheetId="37">'MẪU C13-TT LUONG'!$A$13:$F$37</definedName>
    <definedName name="DD0130040_1674" localSheetId="37">'MẪU C13-TT LUONG'!$A$13:$F$37</definedName>
    <definedName name="DD0130040_1675" localSheetId="37">'MẪU C13-TT LUONG'!$A$13:$F$37</definedName>
    <definedName name="DD0130040_1676" localSheetId="37">'MẪU C13-TT LUONG'!$A$13:$F$37</definedName>
    <definedName name="DD0130040_1677" localSheetId="37">'MẪU C13-TT LUONG'!$A$13:$F$37</definedName>
    <definedName name="DD0130040_1678" localSheetId="37">'MẪU C13-TT LUONG'!$A$13:$F$43</definedName>
    <definedName name="DD0130040_1679" localSheetId="37">'MẪU C13-TT LUONG'!$A$13:$F$37</definedName>
    <definedName name="DD0130040_1680" localSheetId="37">'MẪU C13-TT LUONG'!$A$13:$F$37</definedName>
    <definedName name="DD0130040_1681" localSheetId="37">'MẪU C13-TT LUONG'!$A$13:$F$37</definedName>
    <definedName name="DD0130040_1682" localSheetId="37">'MẪU C13-TT LUONG'!$A$13:$F$37</definedName>
    <definedName name="DD0130040_1683" localSheetId="37">'MẪU C13-TT LUONG'!$A$13:$F$37</definedName>
    <definedName name="DD0130040_1684" localSheetId="37">'MẪU C13-TT LUONG'!$A$13:$F$37</definedName>
    <definedName name="DD0130040_1685" localSheetId="37">'MẪU C13-TT LUONG'!$A$13:$F$37</definedName>
    <definedName name="DD0130040_1686" localSheetId="37">'MẪU C13-TT LUONG'!$A$13:$F$43</definedName>
    <definedName name="DD0130040_1687" localSheetId="37">'MẪU C13-TT LUONG'!$A$13:$F$37</definedName>
    <definedName name="DD0130040_1688" localSheetId="37">'MẪU C13-TT LUONG'!$A$13:$F$37</definedName>
    <definedName name="DD0130040_1689" localSheetId="37">'MẪU C13-TT LUONG'!$A$13:$F$37</definedName>
    <definedName name="DD0130040_1690" localSheetId="37">'MẪU C13-TT LUONG'!$A$13:$F$37</definedName>
    <definedName name="DD0130040_1691" localSheetId="37">'MẪU C13-TT LUONG'!$A$13:$F$37</definedName>
    <definedName name="DD0130040_1692" localSheetId="37">'MẪU C13-TT LUONG'!$A$13:$F$37</definedName>
    <definedName name="DD0130040_1693" localSheetId="37">'MẪU C13-TT LUONG'!$A$13:$F$37</definedName>
    <definedName name="DD0130040_1694" localSheetId="37">'MẪU C13-TT LUONG'!$A$13:$F$43</definedName>
    <definedName name="DD0130040_1695" localSheetId="37">'MẪU C13-TT LUONG'!$A$13:$F$37</definedName>
    <definedName name="DD0130040_1696" localSheetId="37">'MẪU C13-TT LUONG'!$A$13:$F$37</definedName>
    <definedName name="DD0130040_1697" localSheetId="37">'MẪU C13-TT LUONG'!$A$13:$F$37</definedName>
    <definedName name="DD0130040_1698" localSheetId="37">'MẪU C13-TT LUONG'!$A$13:$F$37</definedName>
    <definedName name="DD0130040_1699" localSheetId="37">'MẪU C13-TT LUONG'!$A$13:$F$41</definedName>
    <definedName name="DD0130040_1700" localSheetId="37">'MẪU C13-TT LUONG'!$A$13:$F$37</definedName>
    <definedName name="DD0130040_1701" localSheetId="37">'MẪU C13-TT LUONG'!$A$22:$F$41</definedName>
    <definedName name="DD0130040_1702" localSheetId="37">'MẪU C13-TT LUONG'!$A$22:$F$48</definedName>
    <definedName name="DD0130040_1703" localSheetId="37">'MẪU C13-TT LUONG'!$A$9:$F$41</definedName>
    <definedName name="DD0130040_1704" localSheetId="37">'MẪU C13-TT LUONG'!$A$9:$F$41</definedName>
    <definedName name="DD0130040_1705" localSheetId="37">'MẪU C13-TT LUONG'!$A$9:$F$40</definedName>
    <definedName name="DD0130040_1706" localSheetId="37">'MẪU C13-TT LUONG'!$A$9:$F$28</definedName>
    <definedName name="DD0130040_1707" localSheetId="37">'MẪU C13-TT LUONG'!$A$9:$F$26</definedName>
    <definedName name="DD0130040_1708" localSheetId="37">'MẪU C13-TT LUONG'!$A$9:$F$50</definedName>
    <definedName name="DD0130040_1709" localSheetId="37">'MẪU C13-TT LUONG'!$A$9:$F$26</definedName>
    <definedName name="DD0130040_1710" localSheetId="37">'MẪU C13-TT LUONG'!$A$9:$F$40</definedName>
    <definedName name="DD0130040_1711" localSheetId="37">'MẪU C13-TT LUONG'!$A$9:$F$40</definedName>
    <definedName name="DD0130040_1712" localSheetId="37">'MẪU C13-TT LUONG'!$A$9:$F$40</definedName>
    <definedName name="DD0130040_1713" localSheetId="37">'MẪU C13-TT LUONG'!$A$9:$F$40</definedName>
    <definedName name="DD0130040_1714" localSheetId="37">'MẪU C13-TT LUONG'!$A$9:$F$28</definedName>
    <definedName name="DD0130040_1715" localSheetId="37">'MẪU C13-TT LUONG'!$A$9:$F$26</definedName>
    <definedName name="DD0130040_1716" localSheetId="37">'MẪU C13-TT LUONG'!$A$9:$F$50</definedName>
    <definedName name="DD0130040_1717" localSheetId="37">'MẪU C13-TT LUONG'!$A$9:$F$26</definedName>
    <definedName name="DD0130040_1718" localSheetId="37">'MẪU C13-TT LUONG'!$A$9:$F$40</definedName>
    <definedName name="DD0130040_1719" localSheetId="37">'MẪU C13-TT LUONG'!$A$9:$F$40</definedName>
    <definedName name="DD0130040_1720" localSheetId="37">'MẪU C13-TT LUONG'!$A$9:$F$40</definedName>
    <definedName name="DD0130040_1721" localSheetId="37">'MẪU C13-TT LUONG'!$A$9:$F$40</definedName>
    <definedName name="DD0130040_1722" localSheetId="37">'MẪU C13-TT LUONG'!$A$9:$F$50</definedName>
    <definedName name="DD0130040_1723" localSheetId="37">'MẪU C13-TT LUONG'!$A$22:$F$49</definedName>
    <definedName name="DD0130040_1724" localSheetId="37">'MẪU C13-TT LUONG'!$A$13:$F$37</definedName>
    <definedName name="DD0130040_1725" localSheetId="37">'MẪU C13-TT LUONG'!$A$13:$F$37</definedName>
    <definedName name="DD0130040_1726" localSheetId="37">'MẪU C13-TT LUONG'!$A$13:$F$42</definedName>
    <definedName name="DD0130040_1727" localSheetId="37">'MẪU C13-TT LUONG'!$A$13:$F$37</definedName>
    <definedName name="DD0130040_1728" localSheetId="37">'MẪU C13-TT LUONG'!$A$13:$F$37</definedName>
    <definedName name="DD0130040_1729" localSheetId="37">'MẪU C13-TT LUONG'!$A$13:$F$37</definedName>
    <definedName name="DD0130040_1730" localSheetId="37">'MẪU C13-TT LUONG'!$A$13:$F$37</definedName>
    <definedName name="DD0130040_1731" localSheetId="37">'MẪU C13-TT LUONG'!$A$13:$F$42</definedName>
    <definedName name="DD0130040_1732" localSheetId="37">'MẪU C13-TT LUONG'!$A$13:$F$37</definedName>
    <definedName name="DD0130040_1733" localSheetId="37">'MẪU C13-TT LUONG'!$A$13:$F$37</definedName>
    <definedName name="DD0130040_1734" localSheetId="37">'MẪU C13-TT LUONG'!$A$22:$F$41</definedName>
    <definedName name="DD0130040_1735" localSheetId="37">'MẪU C13-TT LUONG'!$A$22:$F$48</definedName>
    <definedName name="DD0130040_1736" localSheetId="37">'MẪU C13-TT LUONG'!$A$9:$F$41</definedName>
    <definedName name="DD0130040_1737" localSheetId="37">'MẪU C13-TT LUONG'!$A$9:$F$41</definedName>
    <definedName name="DD0130040_1738" localSheetId="37">'MẪU C13-TT LUONG'!$A$9:$F$40</definedName>
    <definedName name="DD0130040_1739" localSheetId="37">'MẪU C13-TT LUONG'!$A$9:$F$28</definedName>
    <definedName name="DD0130040_1740" localSheetId="37">'MẪU C13-TT LUONG'!$A$9:$F$26</definedName>
    <definedName name="DD0130040_1741" localSheetId="37">'MẪU C13-TT LUONG'!$A$9:$F$50</definedName>
    <definedName name="DD0130040_1742" localSheetId="37">'MẪU C13-TT LUONG'!$A$9:$F$26</definedName>
    <definedName name="DD0130040_1743" localSheetId="37">'MẪU C13-TT LUONG'!$A$9:$F$40</definedName>
    <definedName name="DD0130040_1744" localSheetId="37">'MẪU C13-TT LUONG'!$A$9:$F$40</definedName>
    <definedName name="DD0130040_1745" localSheetId="37">'MẪU C13-TT LUONG'!$A$9:$F$40</definedName>
    <definedName name="DD0130040_1746" localSheetId="37">'MẪU C13-TT LUONG'!$A$9:$F$40</definedName>
    <definedName name="DD0130040_1747" localSheetId="37">'MẪU C13-TT LUONG'!$A$9:$F$28</definedName>
    <definedName name="DD0130040_1748" localSheetId="37">'MẪU C13-TT LUONG'!$A$9:$F$26</definedName>
    <definedName name="DD0130040_1749" localSheetId="37">'MẪU C13-TT LUONG'!$A$9:$F$50</definedName>
    <definedName name="DD0130040_1750" localSheetId="37">'MẪU C13-TT LUONG'!$A$9:$F$26</definedName>
    <definedName name="DD0130040_1751" localSheetId="37">'MẪU C13-TT LUONG'!$A$9:$F$40</definedName>
    <definedName name="DD0130040_1752" localSheetId="37">'MẪU C13-TT LUONG'!$A$9:$F$40</definedName>
    <definedName name="DD0130040_1753" localSheetId="37">'MẪU C13-TT LUONG'!$A$9:$F$40</definedName>
    <definedName name="DD0130040_1754" localSheetId="37">'MẪU C13-TT LUONG'!$A$9:$F$40</definedName>
    <definedName name="DD0130040_1755" localSheetId="37">'MẪU C13-TT LUONG'!$A$9:$F$50</definedName>
    <definedName name="DD0130040_1756" localSheetId="37">'MẪU C13-TT LUONG'!$A$22:$F$49</definedName>
    <definedName name="DD0130040_1757" localSheetId="37">'MẪU C13-TT LUONG'!$A$13:$F$37</definedName>
    <definedName name="DD0130040_1758" localSheetId="37">'MẪU C13-TT LUONG'!$A$13:$F$37</definedName>
    <definedName name="DD0130040_1759" localSheetId="37">'MẪU C13-TT LUONG'!$A$13:$F$37</definedName>
    <definedName name="DD0130040_1760" localSheetId="37">'MẪU C13-TT LUONG'!$A$13:$F$42</definedName>
    <definedName name="DD0130040_1761" localSheetId="37">'MẪU C13-TT LUONG'!$A$13:$F$37</definedName>
    <definedName name="DD0130040_1762" localSheetId="37">'MẪU C13-TT LUONG'!$A$13:$F$37</definedName>
    <definedName name="DD0130040_1763" localSheetId="37">'MẪU C13-TT LUONG'!$A$13:$F$37</definedName>
    <definedName name="DD0130040_1764" localSheetId="37">'MẪU C13-TT LUONG'!$A$13:$F$37</definedName>
    <definedName name="DD0130040_1765" localSheetId="37">'MẪU C13-TT LUONG'!$A$13:$F$37</definedName>
    <definedName name="DD0130040_1766" localSheetId="37">'MẪU C13-TT LUONG'!$A$13:$F$37</definedName>
    <definedName name="DD0130040_1767" localSheetId="37">'MẪU C13-TT LUONG'!$A$13:$F$37</definedName>
    <definedName name="DD0130040_1768" localSheetId="37">'MẪU C13-TT LUONG'!$A$13:$F$43</definedName>
    <definedName name="DD0130040_1769" localSheetId="37">'MẪU C13-TT LUONG'!$A$13:$F$37</definedName>
    <definedName name="DD0130040_1770" localSheetId="37">'MẪU C13-TT LUONG'!$A$13:$F$37</definedName>
    <definedName name="DD0130040_1771" localSheetId="37">'MẪU C13-TT LUONG'!$A$13:$F$37</definedName>
    <definedName name="DD0130040_1772" localSheetId="37">'MẪU C13-TT LUONG'!$A$13:$F$37</definedName>
    <definedName name="DD0130040_1773" localSheetId="37">'MẪU C13-TT LUONG'!$A$13:$F$41</definedName>
    <definedName name="DD0130040_1774" localSheetId="37">'MẪU C13-TT LUONG'!$A$13:$F$37</definedName>
    <definedName name="DD0130040_1775" localSheetId="37">'MẪU C13-TT LUONG'!$A$22:$F$41</definedName>
    <definedName name="DD0130040_1776" localSheetId="37">'MẪU C13-TT LUONG'!$A$22:$F$48</definedName>
    <definedName name="DD0130040_1777" localSheetId="37">'MẪU C13-TT LUONG'!$A$9:$F$41</definedName>
    <definedName name="DD0130040_1778" localSheetId="37">'MẪU C13-TT LUONG'!$A$9:$F$41</definedName>
    <definedName name="DD0130040_1779" localSheetId="37">'MẪU C13-TT LUONG'!$A$9:$F$40</definedName>
    <definedName name="DD0130040_1780" localSheetId="37">'MẪU C13-TT LUONG'!$A$9:$F$28</definedName>
    <definedName name="DD0130040_1781" localSheetId="37">'MẪU C13-TT LUONG'!$A$9:$F$26</definedName>
    <definedName name="DD0130040_1782" localSheetId="37">'MẪU C13-TT LUONG'!$A$9:$F$50</definedName>
    <definedName name="DD0130040_1783" localSheetId="37">'MẪU C13-TT LUONG'!$A$9:$F$26</definedName>
    <definedName name="DD0130040_1784" localSheetId="37">'MẪU C13-TT LUONG'!$A$9:$F$40</definedName>
    <definedName name="DD0130040_1785" localSheetId="37">'MẪU C13-TT LUONG'!$A$9:$F$40</definedName>
    <definedName name="DD0130040_1786" localSheetId="37">'MẪU C13-TT LUONG'!$A$9:$F$40</definedName>
    <definedName name="DD0130040_1787" localSheetId="37">'MẪU C13-TT LUONG'!$A$9:$F$40</definedName>
    <definedName name="DD0130040_1788" localSheetId="37">'MẪU C13-TT LUONG'!$A$9:$F$28</definedName>
    <definedName name="DD0130040_1789" localSheetId="37">'MẪU C13-TT LUONG'!$A$9:$F$26</definedName>
    <definedName name="DD0130040_1790" localSheetId="37">'MẪU C13-TT LUONG'!$A$9:$F$50</definedName>
    <definedName name="DD0130040_1791" localSheetId="37">'MẪU C13-TT LUONG'!$A$9:$F$26</definedName>
    <definedName name="DD0130040_1792" localSheetId="37">'MẪU C13-TT LUONG'!$A$9:$F$40</definedName>
    <definedName name="DD0130040_1793" localSheetId="37">'MẪU C13-TT LUONG'!$A$9:$F$40</definedName>
    <definedName name="DD0130040_1794" localSheetId="37">'MẪU C13-TT LUONG'!$A$9:$F$40</definedName>
    <definedName name="DD0130040_1795" localSheetId="37">'MẪU C13-TT LUONG'!$A$9:$F$40</definedName>
    <definedName name="DD0130040_1796" localSheetId="37">'MẪU C13-TT LUONG'!$A$9:$F$50</definedName>
    <definedName name="DD0130040_1797" localSheetId="37">'MẪU C13-TT LUONG'!$A$22:$F$49</definedName>
    <definedName name="DD0130040_1798" localSheetId="37">'MẪU C13-TT LUONG'!$A$13:$F$37</definedName>
    <definedName name="DD0130040_1799" localSheetId="37">'MẪU C13-TT LUONG'!$A$13:$F$37</definedName>
    <definedName name="DD0130040_1800" localSheetId="37">'MẪU C13-TT LUONG'!$A$13:$F$42</definedName>
    <definedName name="DD0130040_1801" localSheetId="37">'MẪU C13-TT LUONG'!$A$13:$F$37</definedName>
    <definedName name="DD0130040_1802" localSheetId="37">'MẪU C13-TT LUONG'!$A$13:$F$37</definedName>
    <definedName name="DD0130040_1803" localSheetId="37">'MẪU C13-TT LUONG'!$A$13:$F$37</definedName>
    <definedName name="DD0130040_1804" localSheetId="37">'MẪU C13-TT LUONG'!$A$13:$F$37</definedName>
    <definedName name="DD0130040_1805" localSheetId="37">'MẪU C13-TT LUONG'!$A$13:$F$42</definedName>
    <definedName name="DD0130040_1806" localSheetId="37">'MẪU C13-TT LUONG'!$A$13:$F$37</definedName>
    <definedName name="DD0130040_1807" localSheetId="37">'MẪU C13-TT LUONG'!$A$13:$F$37</definedName>
    <definedName name="DD0130040_1808" localSheetId="37">'MẪU C13-TT LUONG'!$A$22:$F$41</definedName>
    <definedName name="DD0130040_1809" localSheetId="37">'MẪU C13-TT LUONG'!$A$22:$F$48</definedName>
    <definedName name="DD0130040_1810" localSheetId="37">'MẪU C13-TT LUONG'!$A$9:$F$41</definedName>
    <definedName name="DD0130040_1811" localSheetId="37">'MẪU C13-TT LUONG'!$A$9:$F$41</definedName>
    <definedName name="DD0130040_1812" localSheetId="37">'MẪU C13-TT LUONG'!$A$9:$F$40</definedName>
    <definedName name="DD0130040_1813" localSheetId="37">'MẪU C13-TT LUONG'!$A$9:$F$28</definedName>
    <definedName name="DD0130040_1814" localSheetId="37">'MẪU C13-TT LUONG'!$A$9:$F$26</definedName>
    <definedName name="DD0130040_1815" localSheetId="37">'MẪU C13-TT LUONG'!$A$9:$F$50</definedName>
    <definedName name="DD0130040_1816" localSheetId="37">'MẪU C13-TT LUONG'!$A$9:$F$26</definedName>
    <definedName name="DD0130040_1817" localSheetId="37">'MẪU C13-TT LUONG'!$A$9:$F$40</definedName>
    <definedName name="DD0130040_1818" localSheetId="37">'MẪU C13-TT LUONG'!$A$9:$F$40</definedName>
    <definedName name="DD0130040_1819" localSheetId="37">'MẪU C13-TT LUONG'!$A$9:$F$40</definedName>
    <definedName name="DD0130040_1820" localSheetId="37">'MẪU C13-TT LUONG'!$A$9:$F$40</definedName>
    <definedName name="DD0130040_1821" localSheetId="37">'MẪU C13-TT LUONG'!$A$9:$F$28</definedName>
    <definedName name="DD0130040_1822" localSheetId="37">'MẪU C13-TT LUONG'!$A$9:$F$26</definedName>
    <definedName name="DD0130040_1823" localSheetId="37">'MẪU C13-TT LUONG'!$A$9:$F$50</definedName>
    <definedName name="DD0130040_1824" localSheetId="37">'MẪU C13-TT LUONG'!$A$9:$F$26</definedName>
    <definedName name="DD0130040_1825" localSheetId="37">'MẪU C13-TT LUONG'!$A$9:$F$40</definedName>
    <definedName name="DD0130040_1826" localSheetId="37">'MẪU C13-TT LUONG'!$A$9:$F$40</definedName>
    <definedName name="DD0130040_1827" localSheetId="37">'MẪU C13-TT LUONG'!$A$9:$F$40</definedName>
    <definedName name="DD0130040_1828" localSheetId="37">'MẪU C13-TT LUONG'!$A$9:$F$40</definedName>
    <definedName name="DD0130040_1829" localSheetId="37">'MẪU C13-TT LUONG'!$A$9:$F$50</definedName>
    <definedName name="DD0130040_1830" localSheetId="37">'MẪU C13-TT LUONG'!$A$22:$F$49</definedName>
    <definedName name="DD0130040_1831" localSheetId="37">'MẪU C13-TT LUONG'!$A$13:$F$37</definedName>
    <definedName name="DD0130040_1832" localSheetId="37">'MẪU C13-TT LUONG'!$A$13:$F$37</definedName>
    <definedName name="DD0130040_1833" localSheetId="37">'MẪU C13-TT LUONG'!$A$13:$F$37</definedName>
    <definedName name="DD0130040_1834" localSheetId="37">'MẪU C13-TT LUONG'!$A$13:$F$42</definedName>
    <definedName name="DD0130040_1835" localSheetId="37">'MẪU C13-TT LUONG'!$A$13:$F$37</definedName>
    <definedName name="DD0130040_1836" localSheetId="37">'MẪU C13-TT LUONG'!$A$13:$F$37</definedName>
    <definedName name="DD0130040_1837" localSheetId="37">'MẪU C13-TT LUONG'!$A$13:$F$37</definedName>
    <definedName name="DD0130040_1838" localSheetId="37">'MẪU C13-TT LUONG'!$A$9:$F$36</definedName>
    <definedName name="DD0130040_1839" localSheetId="37">'MẪU C13-TT LUONG'!$A$9:$F$36</definedName>
    <definedName name="DD0130040_1840" localSheetId="37">'MẪU C13-TT LUONG'!$A$9:$F$36</definedName>
    <definedName name="DD0130040_1841" localSheetId="37">'MẪU C13-TT LUONG'!$A$9:$F$42</definedName>
    <definedName name="DD0130040_1842" localSheetId="37">'MẪU C13-TT LUONG'!$A$19:$F$39</definedName>
    <definedName name="DD0130040_1843" localSheetId="37">'MẪU C13-TT LUONG'!$A$19:$F$42</definedName>
    <definedName name="DD0130040_1844" localSheetId="37">'MẪU C13-TT LUONG'!$A$9:$F$39</definedName>
    <definedName name="DD0130040_1845" localSheetId="37">'MẪU C13-TT LUONG'!$A$9:$F$39</definedName>
    <definedName name="DD0130040_1846" localSheetId="37">'MẪU C13-TT LUONG'!$A$9:$F$38</definedName>
    <definedName name="DD0130040_1847" localSheetId="37">'MẪU C13-TT LUONG'!$A$9:$F$25</definedName>
    <definedName name="DD0130040_1848" localSheetId="37">'MẪU C13-TT LUONG'!$A$9:$F$24</definedName>
    <definedName name="DD0130040_1849" localSheetId="37">'MẪU C13-TT LUONG'!$A$9:$F$43</definedName>
    <definedName name="DD0130040_1850" localSheetId="37">'MẪU C13-TT LUONG'!$A$9:$F$24</definedName>
    <definedName name="DD0130040_1851" localSheetId="37">'MẪU C13-TT LUONG'!$A$9:$F$38</definedName>
    <definedName name="DD0130040_1852" localSheetId="37">'MẪU C13-TT LUONG'!$A$9:$F$38</definedName>
    <definedName name="DD0130040_1853" localSheetId="37">'MẪU C13-TT LUONG'!$A$9:$F$38</definedName>
    <definedName name="DD0130040_1854" localSheetId="37">'MẪU C13-TT LUONG'!$A$9:$F$38</definedName>
    <definedName name="DD0130040_1855" localSheetId="37">'MẪU C13-TT LUONG'!$A$9:$F$25</definedName>
    <definedName name="DD0130040_1856" localSheetId="37">'MẪU C13-TT LUONG'!$A$9:$F$24</definedName>
    <definedName name="DD0130040_1857" localSheetId="37">'MẪU C13-TT LUONG'!$A$9:$F$43</definedName>
    <definedName name="DD0130040_1858" localSheetId="37">'MẪU C13-TT LUONG'!$A$9:$F$24</definedName>
    <definedName name="DD0130040_1859" localSheetId="37">'MẪU C13-TT LUONG'!$A$9:$F$38</definedName>
    <definedName name="DD0130040_1860" localSheetId="37">'MẪU C13-TT LUONG'!$A$9:$F$38</definedName>
    <definedName name="DD0130040_1861" localSheetId="37">'MẪU C13-TT LUONG'!$A$9:$F$38</definedName>
    <definedName name="DD0130040_1862" localSheetId="37">'MẪU C13-TT LUONG'!$A$9:$F$38</definedName>
    <definedName name="DD0130040_1863" localSheetId="37">'MẪU C13-TT LUONG'!$A$9:$F$43</definedName>
    <definedName name="DD0130040_1864" localSheetId="37">'MẪU C13-TT LUONG'!$A$19:$F$42</definedName>
    <definedName name="DD0130040_1865" localSheetId="37">'MẪU C13-TT LUONG'!$A$9:$F$41</definedName>
    <definedName name="DD0130040_1866" localSheetId="37">'MẪU C13-TT LUONG'!$A$9:$F$36</definedName>
    <definedName name="DD0130040_1867" localSheetId="37">'MẪU C13-TT LUONG'!$A$9:$F$36</definedName>
    <definedName name="DD0130040_1868" localSheetId="37">'MẪU C13-TT LUONG'!$A$9:$F$36</definedName>
    <definedName name="DD0130040_1869" localSheetId="37">'MẪU C13-TT LUONG'!$A$9:$F$36</definedName>
    <definedName name="DD0130040_1870" localSheetId="37">'MẪU C13-TT LUONG'!$A$9:$F$33</definedName>
    <definedName name="DD0130040_1871" localSheetId="37">'MẪU C13-TT LUONG'!$A$9:$F$41</definedName>
    <definedName name="DD0130040_1872" localSheetId="37">'MẪU C13-TT LUONG'!$A$9:$F$33</definedName>
    <definedName name="DD0130040_1873" localSheetId="37">'MẪU C13-TT LUONG'!$A$9:$F$36</definedName>
    <definedName name="DD0130040_1874" localSheetId="37">'MẪU C13-TT LUONG'!$A$9:$F$36</definedName>
    <definedName name="DD0130040_1875" localSheetId="37">'MẪU C13-TT LUONG'!$A$9:$F$36</definedName>
    <definedName name="DD0130040_1876" localSheetId="37">'MẪU C13-TT LUONG'!$A$9:$F$36</definedName>
    <definedName name="DD0130040_1877" localSheetId="37">'MẪU C13-TT LUONG'!$A$9:$F$36</definedName>
    <definedName name="DD0130040_1878" localSheetId="37">'MẪU C13-TT LUONG'!$A$9:$F$33</definedName>
    <definedName name="DD0130040_1879" localSheetId="37">'MẪU C13-TT LUONG'!$A$9:$F$41</definedName>
    <definedName name="DD0130040_1880" localSheetId="37">'MẪU C13-TT LUONG'!$A$9:$F$33</definedName>
    <definedName name="DD0130040_1881" localSheetId="37">'MẪU C13-TT LUONG'!$A$9:$F$36</definedName>
    <definedName name="DD0130040_1882" localSheetId="37">'MẪU C13-TT LUONG'!$A$9:$F$36</definedName>
    <definedName name="DD0130040_1883" localSheetId="37">'MẪU C13-TT LUONG'!$A$9:$F$37</definedName>
    <definedName name="DD0130040_1884" localSheetId="37">'MẪU C13-TT LUONG'!$A$9:$F$37</definedName>
    <definedName name="DD0130040_1885" localSheetId="37">'MẪU C13-TT LUONG'!$A$13:$F$43</definedName>
    <definedName name="DD0130040_1886" localSheetId="37">'MẪU C13-TT LUONG'!$A$13:$F$37</definedName>
    <definedName name="DD0130040_1887" localSheetId="37">'MẪU C13-TT LUONG'!$A$13:$F$37</definedName>
    <definedName name="DD0130040_1888" localSheetId="37">'MẪU C13-TT LUONG'!$A$13:$F$37</definedName>
    <definedName name="DD0130040_1889" localSheetId="37">'MẪU C13-TT LUONG'!$A$13:$F$37</definedName>
    <definedName name="DD0130040_1890" localSheetId="37">'MẪU C13-TT LUONG'!$A$13:$F$36</definedName>
    <definedName name="DD0130040_1891" localSheetId="37">'MẪU C13-TT LUONG'!$A$13:$F$43</definedName>
    <definedName name="DD0130040_1892" localSheetId="37">'MẪU C13-TT LUONG'!$A$13:$F$36</definedName>
    <definedName name="DD0130040_1893" localSheetId="37">'MẪU C13-TT LUONG'!$A$13:$F$37</definedName>
    <definedName name="DD0130040_1894" localSheetId="37">'MẪU C13-TT LUONG'!$A$13:$F$37</definedName>
    <definedName name="DD0130040_1895" localSheetId="37">'MẪU C13-TT LUONG'!$A$13:$F$37</definedName>
    <definedName name="DD0130040_1896" localSheetId="37">'MẪU C13-TT LUONG'!$A$13:$F$37</definedName>
    <definedName name="DD0130040_1897" localSheetId="37">'MẪU C13-TT LUONG'!$A$13:$F$37</definedName>
    <definedName name="DD0130040_1898" localSheetId="37">'MẪU C13-TT LUONG'!$A$13:$F$36</definedName>
    <definedName name="DD0130040_1899" localSheetId="37">'MẪU C13-TT LUONG'!$A$13:$F$43</definedName>
    <definedName name="DD0130040_1900" localSheetId="37">'MẪU C13-TT LUONG'!$A$13:$F$36</definedName>
    <definedName name="DD0130040_1901" localSheetId="37">'MẪU C13-TT LUONG'!$A$13:$F$37</definedName>
    <definedName name="DD0130040_1902" localSheetId="37">'MẪU C13-TT LUONG'!$A$13:$F$37</definedName>
    <definedName name="DD0130040_1903" localSheetId="37">'MẪU C13-TT LUONG'!$A$13:$F$39</definedName>
    <definedName name="DD0130040_1904" localSheetId="37">'MẪU C13-TT LUONG'!$A$13:$F$44</definedName>
    <definedName name="DD0130040_1905" localSheetId="37">'MẪU C13-TT LUONG'!$A$13:$F$37</definedName>
    <definedName name="DD0130040_1906" localSheetId="37">'MẪU C13-TT LUONG'!$A$13:$F$37</definedName>
    <definedName name="DD0130040_1907" localSheetId="37">'MẪU C13-TT LUONG'!$A$13:$F$37</definedName>
    <definedName name="DD0130040_1908" localSheetId="37">'MẪU C13-TT LUONG'!$A$13:$F$37</definedName>
    <definedName name="DD0130040_1909" localSheetId="37">'MẪU C13-TT LUONG'!$A$13:$F$37</definedName>
    <definedName name="DD0130040_1910" localSheetId="37">'MẪU C13-TT LUONG'!$A$13:$F$44</definedName>
    <definedName name="DD0130040_1911" localSheetId="37">'MẪU C13-TT LUONG'!$A$13:$F$37</definedName>
    <definedName name="DD0130040_1912" localSheetId="37">'MẪU C13-TT LUONG'!$A$13:$F$37</definedName>
    <definedName name="DD0130040_1913" localSheetId="37">'MẪU C13-TT LUONG'!$A$13:$F$37</definedName>
    <definedName name="DD0130040_1914" localSheetId="37">'MẪU C13-TT LUONG'!$A$13:$F$37</definedName>
    <definedName name="DD0130040_1915" localSheetId="37">'MẪU C13-TT LUONG'!$A$13:$F$37</definedName>
    <definedName name="DD0130040_1916" localSheetId="37">'MẪU C13-TT LUONG'!$A$13:$F$37</definedName>
    <definedName name="DD0130040_1917" localSheetId="37">'MẪU C13-TT LUONG'!$A$13:$F$37</definedName>
    <definedName name="DD0130040_1918" localSheetId="37">'MẪU C13-TT LUONG'!$A$13:$F$44</definedName>
    <definedName name="DD0130040_1919" localSheetId="37">'MẪU C13-TT LUONG'!$A$13:$F$37</definedName>
    <definedName name="DD0130040_1920" localSheetId="37">'MẪU C13-TT LUONG'!$A$13:$F$37</definedName>
    <definedName name="DD0130040_1921" localSheetId="37">'MẪU C13-TT LUONG'!$A$13:$F$37</definedName>
    <definedName name="DD0130040_1922" localSheetId="37">'MẪU C13-TT LUONG'!$A$13:$F$37</definedName>
    <definedName name="DD0130040_1923" localSheetId="37">'MẪU C13-TT LUONG'!$A$13:$F$37</definedName>
    <definedName name="DD0130040_1924" localSheetId="37">'MẪU C13-TT LUONG'!$A$13:$F$37</definedName>
    <definedName name="DD0130040_1925" localSheetId="37">'MẪU C13-TT LUONG'!$A$13:$F$37</definedName>
    <definedName name="DD0130040_1926" localSheetId="37">'MẪU C13-TT LUONG'!$A$13:$F$37</definedName>
    <definedName name="DD0130040_1927" localSheetId="37">'MẪU C13-TT LUONG'!$A$13:$F$43</definedName>
    <definedName name="DD0130040_1928" localSheetId="37">'MẪU C13-TT LUONG'!$A$13:$F$37</definedName>
    <definedName name="DD0130040_1929" localSheetId="37">'MẪU C13-TT LUONG'!$A$13:$F$37</definedName>
    <definedName name="DD0130040_1930" localSheetId="37">'MẪU C13-TT LUONG'!$A$13:$F$37</definedName>
    <definedName name="DD0130040_1931" localSheetId="37">'MẪU C13-TT LUONG'!$A$13:$F$37</definedName>
    <definedName name="DD0130040_1932" localSheetId="37">'MẪU C13-TT LUONG'!$A$13:$F$37</definedName>
    <definedName name="DD0130040_1933" localSheetId="37">'MẪU C13-TT LUONG'!$A$13:$F$37</definedName>
    <definedName name="DD0130040_1934" localSheetId="37">'MẪU C13-TT LUONG'!$A$13:$F$37</definedName>
    <definedName name="DD0130040_1935" localSheetId="37">'MẪU C13-TT LUONG'!$A$13:$F$43</definedName>
    <definedName name="DD0130040_1936" localSheetId="37">'MẪU C13-TT LUONG'!$A$13:$F$37</definedName>
    <definedName name="DD0130040_1937" localSheetId="37">'MẪU C13-TT LUONG'!$A$13:$F$37</definedName>
    <definedName name="DD0130040_1938" localSheetId="37">'MẪU C13-TT LUONG'!$A$13:$F$37</definedName>
    <definedName name="DD0130040_1939" localSheetId="37">'MẪU C13-TT LUONG'!$A$13:$F$37</definedName>
    <definedName name="DD0130040_1940" localSheetId="37">'MẪU C13-TT LUONG'!$A$13:$F$37</definedName>
    <definedName name="DD0130040_1941" localSheetId="37">'MẪU C13-TT LUONG'!$A$13:$F$37</definedName>
    <definedName name="DD0130040_1942" localSheetId="37">'MẪU C13-TT LUONG'!$A$13:$F$37</definedName>
    <definedName name="DD0130040_1943" localSheetId="37">'MẪU C13-TT LUONG'!$A$13:$F$43</definedName>
    <definedName name="DD0130040_1944" localSheetId="37">'MẪU C13-TT LUONG'!$A$13:$F$37</definedName>
    <definedName name="DD0130040_1945" localSheetId="37">'MẪU C13-TT LUONG'!$A$13:$F$37</definedName>
    <definedName name="DD0130040_1946" localSheetId="37">'MẪU C13-TT LUONG'!$A$13:$F$37</definedName>
    <definedName name="DD0130040_1947" localSheetId="37">'MẪU C13-TT LUONG'!$A$13:$F$37</definedName>
    <definedName name="DD0130040_1948" localSheetId="37">'MẪU C13-TT LUONG'!$A$13:$F$41</definedName>
    <definedName name="DD0130040_1949" localSheetId="37">'MẪU C13-TT LUONG'!$A$13:$F$37</definedName>
    <definedName name="DD0130040_1950" localSheetId="37">'MẪU C13-TT LUONG'!$A$22:$F$41</definedName>
    <definedName name="DD0130040_1951" localSheetId="37">'MẪU C13-TT LUONG'!$A$22:$F$44</definedName>
    <definedName name="DD0130040_1952" localSheetId="37">'MẪU C13-TT LUONG'!$A$9:$F$41</definedName>
    <definedName name="DD0130040_1953" localSheetId="37">'MẪU C13-TT LUONG'!$A$9:$F$41</definedName>
    <definedName name="DD0130040_1954" localSheetId="37">'MẪU C13-TT LUONG'!$A$9:$F$40</definedName>
    <definedName name="DD0130040_1955" localSheetId="37">'MẪU C13-TT LUONG'!$A$9:$F$26</definedName>
    <definedName name="DD0130040_1956" localSheetId="37">'MẪU C13-TT LUONG'!$A$9:$F$26</definedName>
    <definedName name="DD0130040_1957" localSheetId="37">'MẪU C13-TT LUONG'!$A$9:$F$48</definedName>
    <definedName name="DD0130040_1958" localSheetId="37">'MẪU C13-TT LUONG'!$A$9:$F$26</definedName>
    <definedName name="DD0130040_1959" localSheetId="37">'MẪU C13-TT LUONG'!$A$9:$F$40</definedName>
    <definedName name="DD0130040_1960" localSheetId="37">'MẪU C13-TT LUONG'!$A$9:$F$40</definedName>
    <definedName name="DD0130040_1961" localSheetId="37">'MẪU C13-TT LUONG'!$A$9:$F$40</definedName>
    <definedName name="DD0130040_1962" localSheetId="37">'MẪU C13-TT LUONG'!$A$9:$F$40</definedName>
    <definedName name="DD0130040_1963" localSheetId="37">'MẪU C13-TT LUONG'!$A$9:$F$26</definedName>
    <definedName name="DD0130040_1964" localSheetId="37">'MẪU C13-TT LUONG'!$A$9:$F$26</definedName>
    <definedName name="DD0130040_1965" localSheetId="37">'MẪU C13-TT LUONG'!$A$9:$F$48</definedName>
    <definedName name="DD0130040_1966" localSheetId="37">'MẪU C13-TT LUONG'!$A$9:$F$26</definedName>
    <definedName name="DD0130040_1967" localSheetId="37">'MẪU C13-TT LUONG'!$A$9:$F$40</definedName>
    <definedName name="DD0130040_1968" localSheetId="37">'MẪU C13-TT LUONG'!$A$9:$F$40</definedName>
    <definedName name="DD0130040_1969" localSheetId="37">'MẪU C13-TT LUONG'!$A$9:$F$40</definedName>
    <definedName name="DD0130040_1970" localSheetId="37">'MẪU C13-TT LUONG'!$A$9:$F$40</definedName>
    <definedName name="DD0130040_1971" localSheetId="37">'MẪU C13-TT LUONG'!$A$9:$F$48</definedName>
    <definedName name="DD0130040_1972" localSheetId="37">'MẪU C13-TT LUONG'!$A$22:$F$45</definedName>
    <definedName name="DD0130040_1973" localSheetId="37">'MẪU C13-TT LUONG'!$A$13:$F$37</definedName>
    <definedName name="DD0130040_1974" localSheetId="37">'MẪU C13-TT LUONG'!$A$13:$F$37</definedName>
    <definedName name="DD0130040_1975" localSheetId="37">'MẪU C13-TT LUONG'!$A$13:$F$42</definedName>
    <definedName name="DD0130040_1976" localSheetId="37">'MẪU C13-TT LUONG'!$A$13:$F$37</definedName>
    <definedName name="DD0130040_1977" localSheetId="37">'MẪU C13-TT LUONG'!$A$13:$F$37</definedName>
    <definedName name="DD0130040_1978" localSheetId="37">'MẪU C13-TT LUONG'!$A$13:$F$37</definedName>
    <definedName name="DD0130040_1979" localSheetId="37">'MẪU C13-TT LUONG'!$A$13:$F$37</definedName>
    <definedName name="DD0130040_1980" localSheetId="37">'MẪU C13-TT LUONG'!$A$13:$F$42</definedName>
    <definedName name="DD0130040_1981" localSheetId="37">'MẪU C13-TT LUONG'!$A$13:$F$37</definedName>
    <definedName name="DD0130040_1982" localSheetId="37">'MẪU C13-TT LUONG'!$A$13:$F$37</definedName>
    <definedName name="DD0130040_1983" localSheetId="37">'MẪU C13-TT LUONG'!$A$22:$F$41</definedName>
    <definedName name="DD0130040_1984" localSheetId="37">'MẪU C13-TT LUONG'!$A$22:$F$44</definedName>
    <definedName name="DD0130040_1985" localSheetId="37">'MẪU C13-TT LUONG'!$A$9:$F$41</definedName>
    <definedName name="DD0130040_1986" localSheetId="37">'MẪU C13-TT LUONG'!$A$9:$F$41</definedName>
    <definedName name="DD0130040_1987" localSheetId="37">'MẪU C13-TT LUONG'!$A$9:$F$40</definedName>
    <definedName name="DD0130040_1988" localSheetId="37">'MẪU C13-TT LUONG'!$A$9:$F$26</definedName>
    <definedName name="DD0130040_1989" localSheetId="37">'MẪU C13-TT LUONG'!$A$9:$F$26</definedName>
    <definedName name="DD0130040_1990" localSheetId="37">'MẪU C13-TT LUONG'!$A$9:$F$48</definedName>
    <definedName name="DD0130040_1991" localSheetId="37">'MẪU C13-TT LUONG'!$A$9:$F$26</definedName>
    <definedName name="DD0130040_1992" localSheetId="37">'MẪU C13-TT LUONG'!$A$9:$F$40</definedName>
    <definedName name="DD0130040_1993" localSheetId="37">'MẪU C13-TT LUONG'!$A$9:$F$40</definedName>
    <definedName name="DD0130040_1994" localSheetId="37">'MẪU C13-TT LUONG'!$A$9:$F$40</definedName>
    <definedName name="DD0130040_1995" localSheetId="37">'MẪU C13-TT LUONG'!$A$9:$F$40</definedName>
    <definedName name="DD0130040_1996" localSheetId="37">'MẪU C13-TT LUONG'!$A$9:$F$26</definedName>
    <definedName name="DD0130040_1997" localSheetId="37">'MẪU C13-TT LUONG'!$A$9:$F$26</definedName>
    <definedName name="DD0130040_1998" localSheetId="37">'MẪU C13-TT LUONG'!$A$9:$F$48</definedName>
    <definedName name="DD0130040_1999" localSheetId="37">'MẪU C13-TT LUONG'!$A$9:$F$26</definedName>
    <definedName name="DD0130040_2000" localSheetId="37">'MẪU C13-TT LUONG'!$A$9:$F$40</definedName>
    <definedName name="DD0130040_2001" localSheetId="37">'MẪU C13-TT LUONG'!$A$9:$F$40</definedName>
    <definedName name="DD0130040_2002" localSheetId="37">'MẪU C13-TT LUONG'!$A$9:$F$40</definedName>
    <definedName name="DD0130040_2003" localSheetId="37">'MẪU C13-TT LUONG'!$A$9:$F$40</definedName>
    <definedName name="DD0130040_2004" localSheetId="37">'MẪU C13-TT LUONG'!$A$9:$F$48</definedName>
    <definedName name="DD0130040_2005" localSheetId="37">'MẪU C13-TT LUONG'!$A$22:$F$45</definedName>
    <definedName name="DD0130040_2006" localSheetId="37">'MẪU C13-TT LUONG'!$A$13:$F$37</definedName>
    <definedName name="DD0130040_2007" localSheetId="37">'MẪU C13-TT LUONG'!$A$13:$F$37</definedName>
    <definedName name="DD0130040_2008" localSheetId="37">'MẪU C13-TT LUONG'!$A$13:$F$37</definedName>
    <definedName name="DD0130040_2009" localSheetId="37">'MẪU C13-TT LUONG'!$A$13:$F$42</definedName>
    <definedName name="DD0130040_2010" localSheetId="37">'MẪU C13-TT LUONG'!$A$13:$F$37</definedName>
    <definedName name="DD0130040_2011" localSheetId="37">'MẪU C13-TT LUONG'!$A$13:$F$37</definedName>
    <definedName name="DD0130040_2012" localSheetId="37">'MẪU C13-TT LUONG'!$A$13:$F$37</definedName>
    <definedName name="DD0130040_2013" localSheetId="37">'MẪU C13-TT LUONG'!$A$13:$F$37</definedName>
    <definedName name="DD0130040_2014" localSheetId="37">'MẪU C13-TT LUONG'!$A$13:$F$37</definedName>
    <definedName name="DD0130040_2015" localSheetId="37">'MẪU C13-TT LUONG'!$A$13:$F$37</definedName>
    <definedName name="DD0130040_2016" localSheetId="37">'MẪU C13-TT LUONG'!$A$13:$F$37</definedName>
    <definedName name="DD0130040_2017" localSheetId="37">'MẪU C13-TT LUONG'!$A$13:$F$43</definedName>
    <definedName name="DD0130040_2018" localSheetId="37">'MẪU C13-TT LUONG'!$A$13:$F$37</definedName>
    <definedName name="DD0130040_2019" localSheetId="37">'MẪU C13-TT LUONG'!$A$13:$F$37</definedName>
    <definedName name="DD0130040_2020" localSheetId="37">'MẪU C13-TT LUONG'!$A$13:$F$37</definedName>
    <definedName name="DD0130040_2021" localSheetId="37">'MẪU C13-TT LUONG'!$A$13:$F$37</definedName>
    <definedName name="DD0130040_2022" localSheetId="37">'MẪU C13-TT LUONG'!$A$13:$F$41</definedName>
    <definedName name="DD0130040_2023" localSheetId="37">'MẪU C13-TT LUONG'!$A$13:$F$37</definedName>
    <definedName name="DD0130040_2024" localSheetId="37">'MẪU C13-TT LUONG'!$A$22:$F$41</definedName>
    <definedName name="DD0130040_2025" localSheetId="37">'MẪU C13-TT LUONG'!$A$22:$F$44</definedName>
    <definedName name="DD0130040_2026" localSheetId="37">'MẪU C13-TT LUONG'!$A$9:$F$41</definedName>
    <definedName name="DD0130040_2027" localSheetId="37">'MẪU C13-TT LUONG'!$A$9:$F$41</definedName>
    <definedName name="DD0130040_2028" localSheetId="37">'MẪU C13-TT LUONG'!$A$9:$F$40</definedName>
    <definedName name="DD0130040_2029" localSheetId="37">'MẪU C13-TT LUONG'!$A$9:$F$26</definedName>
    <definedName name="DD0130040_2030" localSheetId="37">'MẪU C13-TT LUONG'!$A$9:$F$26</definedName>
    <definedName name="DD0130040_2031" localSheetId="37">'MẪU C13-TT LUONG'!$A$9:$F$48</definedName>
    <definedName name="DD0130040_2032" localSheetId="37">'MẪU C13-TT LUONG'!$A$9:$F$26</definedName>
    <definedName name="DD0130040_2033" localSheetId="37">'MẪU C13-TT LUONG'!$A$9:$F$40</definedName>
    <definedName name="DD0130040_2034" localSheetId="37">'MẪU C13-TT LUONG'!$A$9:$F$40</definedName>
    <definedName name="DD0130040_2035" localSheetId="37">'MẪU C13-TT LUONG'!$A$9:$F$40</definedName>
    <definedName name="DD0130040_2036" localSheetId="37">'MẪU C13-TT LUONG'!$A$9:$F$40</definedName>
    <definedName name="DD0130040_2037" localSheetId="37">'MẪU C13-TT LUONG'!$A$9:$F$26</definedName>
    <definedName name="DD0130040_2038" localSheetId="37">'MẪU C13-TT LUONG'!$A$9:$F$26</definedName>
    <definedName name="DD0130040_2039" localSheetId="37">'MẪU C13-TT LUONG'!$A$9:$F$48</definedName>
    <definedName name="DD0130040_2040" localSheetId="37">'MẪU C13-TT LUONG'!$A$9:$F$26</definedName>
    <definedName name="DD0130040_2041" localSheetId="37">'MẪU C13-TT LUONG'!$A$9:$F$40</definedName>
    <definedName name="DD0130040_2042" localSheetId="37">'MẪU C13-TT LUONG'!$A$9:$F$40</definedName>
    <definedName name="DD0130040_2043" localSheetId="37">'MẪU C13-TT LUONG'!$A$9:$F$40</definedName>
    <definedName name="DD0130040_2044" localSheetId="37">'MẪU C13-TT LUONG'!$A$9:$F$40</definedName>
    <definedName name="DD0130040_2045" localSheetId="37">'MẪU C13-TT LUONG'!$A$9:$F$48</definedName>
    <definedName name="DD0130040_2046" localSheetId="37">'MẪU C13-TT LUONG'!$A$22:$F$45</definedName>
    <definedName name="DD0130040_2047" localSheetId="37">'MẪU C13-TT LUONG'!$A$13:$F$37</definedName>
    <definedName name="DD0130040_2048" localSheetId="37">'MẪU C13-TT LUONG'!$A$13:$F$37</definedName>
    <definedName name="DD0130040_2049" localSheetId="37">'MẪU C13-TT LUONG'!$A$13:$F$42</definedName>
    <definedName name="DD0130040_2050" localSheetId="37">'MẪU C13-TT LUONG'!$A$13:$F$37</definedName>
    <definedName name="DD0130040_2051" localSheetId="37">'MẪU C13-TT LUONG'!$A$13:$F$37</definedName>
    <definedName name="DD0130040_2052" localSheetId="37">'MẪU C13-TT LUONG'!$A$13:$F$37</definedName>
    <definedName name="DD0130040_2053" localSheetId="37">'MẪU C13-TT LUONG'!$A$13:$F$37</definedName>
    <definedName name="DD0130040_2054" localSheetId="37">'MẪU C13-TT LUONG'!$A$13:$F$42</definedName>
    <definedName name="DD0130040_2055" localSheetId="37">'MẪU C13-TT LUONG'!$A$13:$F$37</definedName>
    <definedName name="DD0130040_2056" localSheetId="37">'MẪU C13-TT LUONG'!$A$13:$F$37</definedName>
    <definedName name="DD0130040_2057" localSheetId="37">'MẪU C13-TT LUONG'!$A$22:$F$41</definedName>
    <definedName name="DD0130040_2058" localSheetId="37">'MẪU C13-TT LUONG'!$A$22:$F$44</definedName>
    <definedName name="DD0130040_2059" localSheetId="37">'MẪU C13-TT LUONG'!$A$9:$F$41</definedName>
    <definedName name="DD0130040_2060" localSheetId="37">'MẪU C13-TT LUONG'!$A$9:$F$41</definedName>
    <definedName name="DD0130040_2061" localSheetId="37">'MẪU C13-TT LUONG'!$A$9:$F$40</definedName>
    <definedName name="DD0130040_2062" localSheetId="37">'MẪU C13-TT LUONG'!$A$9:$F$26</definedName>
    <definedName name="DD0130040_2063" localSheetId="37">'MẪU C13-TT LUONG'!$A$9:$F$26</definedName>
    <definedName name="DD0130040_2064" localSheetId="37">'MẪU C13-TT LUONG'!$A$9:$F$48</definedName>
    <definedName name="DD0130040_2065" localSheetId="37">'MẪU C13-TT LUONG'!$A$9:$F$26</definedName>
    <definedName name="DD0130040_2066" localSheetId="37">'MẪU C13-TT LUONG'!$A$9:$F$40</definedName>
    <definedName name="DD0130040_2067" localSheetId="37">'MẪU C13-TT LUONG'!$A$9:$F$40</definedName>
    <definedName name="DD0130040_2068" localSheetId="37">'MẪU C13-TT LUONG'!$A$9:$F$40</definedName>
    <definedName name="DD0130040_2069" localSheetId="37">'MẪU C13-TT LUONG'!$A$9:$F$40</definedName>
    <definedName name="DD0130040_2070" localSheetId="37">'MẪU C13-TT LUONG'!$A$9:$F$26</definedName>
    <definedName name="DD0130040_2071" localSheetId="37">'MẪU C13-TT LUONG'!$A$9:$F$26</definedName>
    <definedName name="DD0130040_2072" localSheetId="37">'MẪU C13-TT LUONG'!$A$9:$F$48</definedName>
    <definedName name="DD0130040_2073" localSheetId="37">'MẪU C13-TT LUONG'!$A$9:$F$26</definedName>
    <definedName name="DD0130040_2074" localSheetId="37">'MẪU C13-TT LUONG'!$A$9:$F$40</definedName>
    <definedName name="DD0130040_2075" localSheetId="37">'MẪU C13-TT LUONG'!$A$9:$F$40</definedName>
    <definedName name="DD0130040_2076" localSheetId="37">'MẪU C13-TT LUONG'!$A$9:$F$40</definedName>
    <definedName name="DD0130040_2077" localSheetId="37">'MẪU C13-TT LUONG'!$A$9:$F$40</definedName>
    <definedName name="DD0130040_2078" localSheetId="37">'MẪU C13-TT LUONG'!$A$9:$F$48</definedName>
    <definedName name="DD0130040_2079" localSheetId="37">'MẪU C13-TT LUONG'!$A$22:$F$45</definedName>
    <definedName name="DD0130040_2080" localSheetId="37">'MẪU C13-TT LUONG'!$A$13:$F$37</definedName>
    <definedName name="DD0130040_2081" localSheetId="37">'MẪU C13-TT LUONG'!$A$13:$F$37</definedName>
    <definedName name="DD0130040_2082" localSheetId="37">'MẪU C13-TT LUONG'!$A$13:$F$37</definedName>
    <definedName name="DD0130040_2083" localSheetId="37">'MẪU C13-TT LUONG'!$A$13:$F$42</definedName>
    <definedName name="DD0130040_2084" localSheetId="37">'MẪU C13-TT LUONG'!$A$13:$F$37</definedName>
    <definedName name="DD0130040_2085" localSheetId="37">'MẪU C13-TT LUONG'!$A$13:$F$37</definedName>
    <definedName name="DD0130040_2086" localSheetId="37">'MẪU C13-TT LUONG'!$A$13:$F$37</definedName>
    <definedName name="DD0130040_2087" localSheetId="37">'MẪU C13-TT LUONG'!$A$13:$F$42</definedName>
    <definedName name="DD0130040_2088" localSheetId="37">'MẪU C13-TT LUONG'!$A$9:$F$42</definedName>
    <definedName name="DD0130040_2089" localSheetId="37">'MẪU C13-TT LUONG'!$A$9:$F$36</definedName>
    <definedName name="DD0130040_2090" localSheetId="37">'MẪU C13-TT LUONG'!$A$9:$F$36</definedName>
    <definedName name="DD0130040_2091" localSheetId="37">'MẪU C13-TT LUONG'!$A$9:$F$36</definedName>
    <definedName name="DD0130040_2092" localSheetId="37">'MẪU C13-TT LUONG'!$A$9:$F$36</definedName>
    <definedName name="DD0130040_2093" localSheetId="37">'MẪU C13-TT LUONG'!$A$9:$F$33</definedName>
    <definedName name="DD0130040_2094" localSheetId="37">'MẪU C13-TT LUONG'!$A$9:$F$42</definedName>
    <definedName name="DD0130040_2095" localSheetId="37">'MẪU C13-TT LUONG'!$A$9:$F$33</definedName>
    <definedName name="DD0130040_2096" localSheetId="37">'MẪU C13-TT LUONG'!$A$9:$F$36</definedName>
    <definedName name="DD0130040_2097" localSheetId="37">'MẪU C13-TT LUONG'!$A$9:$F$36</definedName>
    <definedName name="DD0130040_2098" localSheetId="37">'MẪU C13-TT LUONG'!$A$9:$F$36</definedName>
    <definedName name="DD0130040_2099" localSheetId="37">'MẪU C13-TT LUONG'!$A$9:$F$36</definedName>
    <definedName name="DD0130040_2100" localSheetId="37">'MẪU C13-TT LUONG'!$A$9:$F$36</definedName>
    <definedName name="DD0130040_2101" localSheetId="37">'MẪU C13-TT LUONG'!$A$9:$F$33</definedName>
    <definedName name="DD0130040_2102" localSheetId="37">'MẪU C13-TT LUONG'!$A$9:$F$42</definedName>
    <definedName name="DD0130040_2103" localSheetId="37">'MẪU C13-TT LUONG'!$A$9:$F$33</definedName>
    <definedName name="DD0130040_2104" localSheetId="37">'MẪU C13-TT LUONG'!$A$9:$F$36</definedName>
    <definedName name="DD0130040_2105" localSheetId="37">'MẪU C13-TT LUONG'!$A$9:$F$36</definedName>
    <definedName name="DD0130040_2106" localSheetId="37">'MẪU C13-TT LUONG'!$A$9:$F$37</definedName>
    <definedName name="DD0130040_2107" localSheetId="37">'MẪU C13-TT LUONG'!$A$9:$F$37</definedName>
    <definedName name="DD0130040_297" localSheetId="37">'MẪU C13-TT LUONG'!$A$9:$F$36</definedName>
    <definedName name="DD0130040_298" localSheetId="37">'MẪU C13-TT LUONG'!$A$9:$F$36</definedName>
    <definedName name="DD0130040_299" localSheetId="37">'MẪU C13-TT LUONG'!$A$9:$F$42</definedName>
    <definedName name="DD0130040_300" localSheetId="37">'MẪU C13-TT LUONG'!$A$9:$F$36</definedName>
    <definedName name="DD0130040_301" localSheetId="37">'MẪU C13-TT LUONG'!$A$9:$F$36</definedName>
    <definedName name="DD0130040_302" localSheetId="37">'MẪU C13-TT LUONG'!$A$9:$F$36</definedName>
    <definedName name="DD0130040_303" localSheetId="37">'MẪU C13-TT LUONG'!$A$9:$F$36</definedName>
    <definedName name="DD0130040_304" localSheetId="37">'MẪU C13-TT LUONG'!$A$9:$F$36</definedName>
    <definedName name="DD0130040_305" localSheetId="37">'MẪU C13-TT LUONG'!$A$9:$F$36</definedName>
    <definedName name="DD0130040_306" localSheetId="37">'MẪU C13-TT LUONG'!$A$9:$F$36</definedName>
    <definedName name="DD0130040_307" localSheetId="37">'MẪU C13-TT LUONG'!$A$9:$F$42</definedName>
    <definedName name="DD0130040_308" localSheetId="37">'MẪU C13-TT LUONG'!$A$9:$F$36</definedName>
    <definedName name="DD0130040_309" localSheetId="37">'MẪU C13-TT LUONG'!$A$9:$F$36</definedName>
    <definedName name="DD0130040_310" localSheetId="37">'MẪU C13-TT LUONG'!$A$9:$F$36</definedName>
    <definedName name="DD0130040_311" localSheetId="37">'MẪU C13-TT LUONG'!$A$9:$F$37</definedName>
    <definedName name="DD0130040_312" localSheetId="37">'MẪU C13-TT LUONG'!$A$9:$F$37</definedName>
    <definedName name="DD0130040_313" localSheetId="37">'MẪU C13-TT LUONG'!$A$13:$F$44</definedName>
    <definedName name="DD0130040_314" localSheetId="37">'MẪU C13-TT LUONG'!$A$13:$F$37</definedName>
    <definedName name="DD0130040_315" localSheetId="37">'MẪU C13-TT LUONG'!$A$13:$F$37</definedName>
    <definedName name="DD0130040_316" localSheetId="37">'MẪU C13-TT LUONG'!$A$13:$F$37</definedName>
    <definedName name="DD0130040_317" localSheetId="37">'MẪU C13-TT LUONG'!$A$13:$F$37</definedName>
    <definedName name="DD0130040_318" localSheetId="37">'MẪU C13-TT LUONG'!$A$13:$F$37</definedName>
    <definedName name="DD0130040_319" localSheetId="37">'MẪU C13-TT LUONG'!$A$13:$F$44</definedName>
    <definedName name="DD0130040_320" localSheetId="37">'MẪU C13-TT LUONG'!$A$13:$F$37</definedName>
    <definedName name="DD0130040_321" localSheetId="37">'MẪU C13-TT LUONG'!$A$13:$F$37</definedName>
    <definedName name="DD0130040_322" localSheetId="37">'MẪU C13-TT LUONG'!$A$13:$F$37</definedName>
    <definedName name="DD0130040_323" localSheetId="37">'MẪU C13-TT LUONG'!$A$13:$F$37</definedName>
    <definedName name="DD0130040_324" localSheetId="37">'MẪU C13-TT LUONG'!$A$13:$F$37</definedName>
    <definedName name="DD0130040_325" localSheetId="37">'MẪU C13-TT LUONG'!$A$13:$F$37</definedName>
    <definedName name="DD0130040_326" localSheetId="37">'MẪU C13-TT LUONG'!$A$13:$F$37</definedName>
    <definedName name="DD0130040_327" localSheetId="37">'MẪU C13-TT LUONG'!$A$13:$F$44</definedName>
    <definedName name="DD0130040_328" localSheetId="37">'MẪU C13-TT LUONG'!$A$13:$F$37</definedName>
    <definedName name="DD0130040_329" localSheetId="37">'MẪU C13-TT LUONG'!$A$13:$F$37</definedName>
    <definedName name="DD0130040_330" localSheetId="37">'MẪU C13-TT LUONG'!$A$13:$F$37</definedName>
    <definedName name="DD0130040_331" localSheetId="37">'MẪU C13-TT LUONG'!$A$13:$F$40</definedName>
    <definedName name="DD0130040_332" localSheetId="37">'MẪU C13-TT LUONG'!$A$13:$F$45</definedName>
    <definedName name="DD0130040_333" localSheetId="37">'MẪU C13-TT LUONG'!$A$13:$F$37</definedName>
    <definedName name="DD0130040_334" localSheetId="37">'MẪU C13-TT LUONG'!$A$13:$F$37</definedName>
    <definedName name="DD0130040_335" localSheetId="37">'MẪU C13-TT LUONG'!$A$13:$F$37</definedName>
    <definedName name="DD0130040_336" localSheetId="37">'MẪU C13-TT LUONG'!$A$13:$F$37</definedName>
    <definedName name="DD0130040_337" localSheetId="37">'MẪU C13-TT LUONG'!$A$13:$F$37</definedName>
    <definedName name="DD0130040_338" localSheetId="37">'MẪU C13-TT LUONG'!$A$13:$F$45</definedName>
    <definedName name="DD0130040_339" localSheetId="37">'MẪU C13-TT LUONG'!$A$13:$F$37</definedName>
    <definedName name="DD0130040_340" localSheetId="37">'MẪU C13-TT LUONG'!$A$13:$F$37</definedName>
    <definedName name="DD0130040_341" localSheetId="37">'MẪU C13-TT LUONG'!$A$13:$F$37</definedName>
    <definedName name="DD0130040_342" localSheetId="37">'MẪU C13-TT LUONG'!$A$13:$F$37</definedName>
    <definedName name="DD0130040_343" localSheetId="37">'MẪU C13-TT LUONG'!$A$13:$F$37</definedName>
    <definedName name="DD0130040_344" localSheetId="37">'MẪU C13-TT LUONG'!$A$13:$F$37</definedName>
    <definedName name="DD0130040_345" localSheetId="37">'MẪU C13-TT LUONG'!$A$13:$F$37</definedName>
    <definedName name="DD0130040_346" localSheetId="37">'MẪU C13-TT LUONG'!$A$13:$F$45</definedName>
    <definedName name="DD0130040_347" localSheetId="37">'MẪU C13-TT LUONG'!$A$13:$F$37</definedName>
    <definedName name="DD0130040_348" localSheetId="37">'MẪU C13-TT LUONG'!$A$13:$F$37</definedName>
    <definedName name="DD0130040_349" localSheetId="37">'MẪU C13-TT LUONG'!$A$13:$F$37</definedName>
    <definedName name="DD0130040_350" localSheetId="37">'MẪU C13-TT LUONG'!$A$13:$F$37</definedName>
    <definedName name="DD0130040_351" localSheetId="37">'MẪU C13-TT LUONG'!$A$13:$F$37</definedName>
    <definedName name="DD0130040_352" localSheetId="37">'MẪU C13-TT LUONG'!$A$13:$F$37</definedName>
    <definedName name="DD0130040_353" localSheetId="37">'MẪU C13-TT LUONG'!$A$13:$F$37</definedName>
    <definedName name="DD0130040_354" localSheetId="37">'MẪU C13-TT LUONG'!$A$13:$F$37</definedName>
    <definedName name="DD0130040_355" localSheetId="37">'MẪU C13-TT LUONG'!$A$13:$F$44</definedName>
    <definedName name="DD0130040_356" localSheetId="37">'MẪU C13-TT LUONG'!$A$13:$F$37</definedName>
    <definedName name="DD0130040_357" localSheetId="37">'MẪU C13-TT LUONG'!$A$13:$F$37</definedName>
    <definedName name="DD0130040_358" localSheetId="37">'MẪU C13-TT LUONG'!$A$13:$F$37</definedName>
    <definedName name="DD0130040_359" localSheetId="37">'MẪU C13-TT LUONG'!$A$13:$F$37</definedName>
    <definedName name="DD0130040_360" localSheetId="37">'MẪU C13-TT LUONG'!$A$13:$F$37</definedName>
    <definedName name="DD0130040_361" localSheetId="37">'MẪU C13-TT LUONG'!$A$13:$F$37</definedName>
    <definedName name="DD0130040_362" localSheetId="37">'MẪU C13-TT LUONG'!$A$13:$F$37</definedName>
    <definedName name="DD0130040_363" localSheetId="37">'MẪU C13-TT LUONG'!$A$13:$F$44</definedName>
    <definedName name="DD0130040_364" localSheetId="37">'MẪU C13-TT LUONG'!$A$13:$F$37</definedName>
    <definedName name="DD0130040_365" localSheetId="37">'MẪU C13-TT LUONG'!$A$13:$F$37</definedName>
    <definedName name="DD0130040_366" localSheetId="37">'MẪU C13-TT LUONG'!$A$13:$F$37</definedName>
    <definedName name="DD0130040_367" localSheetId="37">'MẪU C13-TT LUONG'!$A$13:$F$37</definedName>
    <definedName name="DD0130040_368" localSheetId="37">'MẪU C13-TT LUONG'!$A$13:$F$37</definedName>
    <definedName name="DD0130040_369" localSheetId="37">'MẪU C13-TT LUONG'!$A$13:$F$37</definedName>
    <definedName name="DD0130040_370" localSheetId="37">'MẪU C13-TT LUONG'!$A$13:$F$37</definedName>
    <definedName name="DD0130040_371" localSheetId="37">'MẪU C13-TT LUONG'!$A$13:$F$44</definedName>
    <definedName name="DD0130040_372" localSheetId="37">'MẪU C13-TT LUONG'!$A$13:$F$37</definedName>
    <definedName name="DD0130040_373" localSheetId="37">'MẪU C13-TT LUONG'!$A$13:$F$37</definedName>
    <definedName name="DD0130040_374" localSheetId="37">'MẪU C13-TT LUONG'!$A$13:$F$37</definedName>
    <definedName name="DD0130040_375" localSheetId="37">'MẪU C13-TT LUONG'!$A$13:$F$37</definedName>
    <definedName name="DD0130040_376" localSheetId="37">'MẪU C13-TT LUONG'!$A$13:$F$42</definedName>
    <definedName name="DD0130040_377" localSheetId="37">'MẪU C13-TT LUONG'!$A$13:$F$37</definedName>
    <definedName name="DD0130040_378" localSheetId="37">'MẪU C13-TT LUONG'!$A$22:$F$42</definedName>
    <definedName name="DD0130040_379" localSheetId="37">'MẪU C13-TT LUONG'!$A$22:$F$49</definedName>
    <definedName name="DD0130040_380" localSheetId="37">'MẪU C13-TT LUONG'!$A$9:$F$42</definedName>
    <definedName name="DD0130040_381" localSheetId="37">'MẪU C13-TT LUONG'!$A$9:$F$42</definedName>
    <definedName name="DD0130040_382" localSheetId="37">'MẪU C13-TT LUONG'!$A$9:$F$40</definedName>
    <definedName name="DD0130040_383" localSheetId="37">'MẪU C13-TT LUONG'!$A$9:$F$29</definedName>
    <definedName name="DD0130040_384" localSheetId="37">'MẪU C13-TT LUONG'!$A$9:$F$27</definedName>
    <definedName name="DD0130040_385" localSheetId="37">'MẪU C13-TT LUONG'!$A$9:$F$51</definedName>
    <definedName name="DD0130040_386" localSheetId="37">'MẪU C13-TT LUONG'!$A$9:$F$27</definedName>
    <definedName name="DD0130040_387" localSheetId="37">'MẪU C13-TT LUONG'!$A$9:$F$40</definedName>
    <definedName name="DD0130040_388" localSheetId="37">'MẪU C13-TT LUONG'!$A$9:$F$40</definedName>
    <definedName name="DD0130040_389" localSheetId="37">'MẪU C13-TT LUONG'!$A$9:$F$40</definedName>
    <definedName name="DD0130040_390" localSheetId="37">'MẪU C13-TT LUONG'!$A$9:$F$40</definedName>
    <definedName name="DD0130040_391" localSheetId="37">'MẪU C13-TT LUONG'!$A$9:$F$29</definedName>
    <definedName name="DD0130040_392" localSheetId="37">'MẪU C13-TT LUONG'!$A$9:$F$27</definedName>
    <definedName name="DD0130040_393" localSheetId="37">'MẪU C13-TT LUONG'!$A$9:$F$51</definedName>
    <definedName name="DD0130040_394" localSheetId="37">'MẪU C13-TT LUONG'!$A$9:$F$27</definedName>
    <definedName name="DD0130040_395" localSheetId="37">'MẪU C13-TT LUONG'!$A$9:$F$40</definedName>
    <definedName name="DD0130040_396" localSheetId="37">'MẪU C13-TT LUONG'!$A$9:$F$40</definedName>
    <definedName name="DD0130040_397" localSheetId="37">'MẪU C13-TT LUONG'!$A$9:$F$40</definedName>
    <definedName name="DD0130040_398" localSheetId="37">'MẪU C13-TT LUONG'!$A$9:$F$40</definedName>
    <definedName name="DD0130040_399" localSheetId="37">'MẪU C13-TT LUONG'!$A$9:$F$51</definedName>
    <definedName name="DD0130040_400" localSheetId="37">'MẪU C13-TT LUONG'!$A$22:$F$50</definedName>
    <definedName name="DD0130040_401" localSheetId="37">'MẪU C13-TT LUONG'!$A$13:$F$37</definedName>
    <definedName name="DD0130040_402" localSheetId="37">'MẪU C13-TT LUONG'!$A$13:$F$37</definedName>
    <definedName name="DD0130040_403" localSheetId="37">'MẪU C13-TT LUONG'!$A$13:$F$42</definedName>
    <definedName name="DD0130040_404" localSheetId="37">'MẪU C13-TT LUONG'!$A$13:$F$37</definedName>
    <definedName name="DD0130040_405" localSheetId="37">'MẪU C13-TT LUONG'!$A$13:$F$37</definedName>
    <definedName name="DD0130040_406" localSheetId="37">'MẪU C13-TT LUONG'!$A$13:$F$37</definedName>
    <definedName name="DD0130040_407" localSheetId="37">'MẪU C13-TT LUONG'!$A$13:$F$37</definedName>
    <definedName name="DD0130040_408" localSheetId="37">'MẪU C13-TT LUONG'!$A$13:$F$42</definedName>
    <definedName name="DD0130040_409" localSheetId="37">'MẪU C13-TT LUONG'!$A$13:$F$37</definedName>
    <definedName name="DD0130040_410" localSheetId="37">'MẪU C13-TT LUONG'!$A$13:$F$37</definedName>
    <definedName name="DD0130040_411" localSheetId="37">'MẪU C13-TT LUONG'!$A$22:$F$42</definedName>
    <definedName name="DD0130040_412" localSheetId="37">'MẪU C13-TT LUONG'!$A$22:$F$49</definedName>
    <definedName name="DD0130040_413" localSheetId="37">'MẪU C13-TT LUONG'!$A$9:$F$42</definedName>
    <definedName name="DD0130040_414" localSheetId="37">'MẪU C13-TT LUONG'!$A$9:$F$42</definedName>
    <definedName name="DD0130040_415" localSheetId="37">'MẪU C13-TT LUONG'!$A$9:$F$40</definedName>
    <definedName name="DD0130040_416" localSheetId="37">'MẪU C13-TT LUONG'!$A$9:$F$29</definedName>
    <definedName name="DD0130040_417" localSheetId="37">'MẪU C13-TT LUONG'!$A$9:$F$27</definedName>
    <definedName name="DD0130040_418" localSheetId="37">'MẪU C13-TT LUONG'!$A$9:$F$51</definedName>
    <definedName name="DD0130040_419" localSheetId="37">'MẪU C13-TT LUONG'!$A$9:$F$27</definedName>
    <definedName name="DD0130040_420" localSheetId="37">'MẪU C13-TT LUONG'!$A$9:$F$40</definedName>
    <definedName name="DD0130040_421" localSheetId="37">'MẪU C13-TT LUONG'!$A$9:$F$40</definedName>
    <definedName name="DD0130040_422" localSheetId="37">'MẪU C13-TT LUONG'!$A$9:$F$40</definedName>
    <definedName name="DD0130040_423" localSheetId="37">'MẪU C13-TT LUONG'!$A$9:$F$40</definedName>
    <definedName name="DD0130040_424" localSheetId="37">'MẪU C13-TT LUONG'!$A$9:$F$29</definedName>
    <definedName name="DD0130040_425" localSheetId="37">'MẪU C13-TT LUONG'!$A$9:$F$27</definedName>
    <definedName name="DD0130040_426" localSheetId="37">'MẪU C13-TT LUONG'!$A$9:$F$51</definedName>
    <definedName name="DD0130040_427" localSheetId="37">'MẪU C13-TT LUONG'!$A$9:$F$27</definedName>
    <definedName name="DD0130040_428" localSheetId="37">'MẪU C13-TT LUONG'!$A$9:$F$40</definedName>
    <definedName name="DD0130040_429" localSheetId="37">'MẪU C13-TT LUONG'!$A$9:$F$40</definedName>
    <definedName name="DD0130040_430" localSheetId="37">'MẪU C13-TT LUONG'!$A$9:$F$40</definedName>
    <definedName name="DD0130040_431" localSheetId="37">'MẪU C13-TT LUONG'!$A$9:$F$40</definedName>
    <definedName name="DD0130040_432" localSheetId="37">'MẪU C13-TT LUONG'!$A$9:$F$51</definedName>
    <definedName name="DD0130040_433" localSheetId="37">'MẪU C13-TT LUONG'!$A$22:$F$50</definedName>
    <definedName name="DD0130040_434" localSheetId="37">'MẪU C13-TT LUONG'!$A$13:$F$37</definedName>
    <definedName name="DD0130040_435" localSheetId="37">'MẪU C13-TT LUONG'!$A$13:$F$37</definedName>
    <definedName name="DD0130040_436" localSheetId="37">'MẪU C13-TT LUONG'!$A$13:$F$37</definedName>
    <definedName name="DD0130040_437" localSheetId="37">'MẪU C13-TT LUONG'!$A$13:$F$42</definedName>
    <definedName name="DD0130040_438" localSheetId="37">'MẪU C13-TT LUONG'!$A$13:$F$37</definedName>
    <definedName name="DD0130040_439" localSheetId="37">'MẪU C13-TT LUONG'!$A$13:$F$37</definedName>
    <definedName name="DD0130040_440" localSheetId="37">'MẪU C13-TT LUONG'!$A$13:$F$37</definedName>
    <definedName name="DD0130040_441" localSheetId="37">'MẪU C13-TT LUONG'!$A$13:$F$37</definedName>
    <definedName name="DD0130040_442" localSheetId="37">'MẪU C13-TT LUONG'!$A$13:$F$37</definedName>
    <definedName name="DD0130040_443" localSheetId="37">'MẪU C13-TT LUONG'!$A$13:$F$37</definedName>
    <definedName name="DD0130040_444" localSheetId="37">'MẪU C13-TT LUONG'!$A$13:$F$37</definedName>
    <definedName name="DD0130040_445" localSheetId="37">'MẪU C13-TT LUONG'!$A$13:$F$44</definedName>
    <definedName name="DD0130040_446" localSheetId="37">'MẪU C13-TT LUONG'!$A$13:$F$37</definedName>
    <definedName name="DD0130040_447" localSheetId="37">'MẪU C13-TT LUONG'!$A$13:$F$37</definedName>
    <definedName name="DD0130040_448" localSheetId="37">'MẪU C13-TT LUONG'!$A$13:$F$37</definedName>
    <definedName name="DD0130040_449" localSheetId="37">'MẪU C13-TT LUONG'!$A$13:$F$37</definedName>
    <definedName name="DD0130040_450" localSheetId="37">'MẪU C13-TT LUONG'!$A$13:$F$42</definedName>
    <definedName name="DD0130040_451" localSheetId="37">'MẪU C13-TT LUONG'!$A$13:$F$37</definedName>
    <definedName name="DD0130040_452" localSheetId="37">'MẪU C13-TT LUONG'!$A$22:$F$42</definedName>
    <definedName name="DD0130040_453" localSheetId="37">'MẪU C13-TT LUONG'!$A$22:$F$49</definedName>
    <definedName name="DD0130040_454" localSheetId="37">'MẪU C13-TT LUONG'!$A$9:$F$42</definedName>
    <definedName name="DD0130040_455" localSheetId="37">'MẪU C13-TT LUONG'!$A$9:$F$42</definedName>
    <definedName name="DD0130040_456" localSheetId="37">'MẪU C13-TT LUONG'!$A$9:$F$40</definedName>
    <definedName name="DD0130040_457" localSheetId="37">'MẪU C13-TT LUONG'!$A$9:$F$29</definedName>
    <definedName name="DD0130040_458" localSheetId="37">'MẪU C13-TT LUONG'!$A$9:$F$27</definedName>
    <definedName name="DD0130040_459" localSheetId="37">'MẪU C13-TT LUONG'!$A$9:$F$51</definedName>
    <definedName name="DD0130040_460" localSheetId="37">'MẪU C13-TT LUONG'!$A$9:$F$27</definedName>
    <definedName name="DD0130040_461" localSheetId="37">'MẪU C13-TT LUONG'!$A$9:$F$40</definedName>
    <definedName name="DD0130040_462" localSheetId="37">'MẪU C13-TT LUONG'!$A$9:$F$40</definedName>
    <definedName name="DD0130040_463" localSheetId="37">'MẪU C13-TT LUONG'!$A$9:$F$40</definedName>
    <definedName name="DD0130040_464" localSheetId="37">'MẪU C13-TT LUONG'!$A$9:$F$40</definedName>
    <definedName name="DD0130040_465" localSheetId="37">'MẪU C13-TT LUONG'!$A$9:$F$29</definedName>
    <definedName name="DD0130040_466" localSheetId="37">'MẪU C13-TT LUONG'!$A$9:$F$27</definedName>
    <definedName name="DD0130040_467" localSheetId="37">'MẪU C13-TT LUONG'!$A$9:$F$51</definedName>
    <definedName name="DD0130040_468" localSheetId="37">'MẪU C13-TT LUONG'!$A$9:$F$27</definedName>
    <definedName name="DD0130040_469" localSheetId="37">'MẪU C13-TT LUONG'!$A$9:$F$40</definedName>
    <definedName name="DD0130040_470" localSheetId="37">'MẪU C13-TT LUONG'!$A$9:$F$40</definedName>
    <definedName name="DD0130040_471" localSheetId="37">'MẪU C13-TT LUONG'!$A$9:$F$40</definedName>
    <definedName name="DD0130040_472" localSheetId="37">'MẪU C13-TT LUONG'!$A$9:$F$40</definedName>
    <definedName name="DD0130040_473" localSheetId="37">'MẪU C13-TT LUONG'!$A$9:$F$51</definedName>
    <definedName name="DD0130040_474" localSheetId="37">'MẪU C13-TT LUONG'!$A$22:$F$50</definedName>
    <definedName name="DD0130040_475" localSheetId="37">'MẪU C13-TT LUONG'!$A$13:$F$37</definedName>
    <definedName name="DD0130040_476" localSheetId="37">'MẪU C13-TT LUONG'!$A$13:$F$37</definedName>
    <definedName name="DD0130040_477" localSheetId="37">'MẪU C13-TT LUONG'!$A$13:$F$42</definedName>
    <definedName name="DD0130040_478" localSheetId="37">'MẪU C13-TT LUONG'!$A$13:$F$37</definedName>
    <definedName name="DD0130040_479" localSheetId="37">'MẪU C13-TT LUONG'!$A$13:$F$37</definedName>
    <definedName name="DD0130040_480" localSheetId="37">'MẪU C13-TT LUONG'!$A$13:$F$37</definedName>
    <definedName name="DD0130040_481" localSheetId="37">'MẪU C13-TT LUONG'!$A$13:$F$37</definedName>
    <definedName name="DD0130040_482" localSheetId="37">'MẪU C13-TT LUONG'!$A$13:$F$42</definedName>
    <definedName name="DD0130040_483" localSheetId="37">'MẪU C13-TT LUONG'!$A$13:$F$37</definedName>
    <definedName name="DD0130040_484" localSheetId="37">'MẪU C13-TT LUONG'!$A$13:$F$37</definedName>
    <definedName name="DD0130040_485" localSheetId="37">'MẪU C13-TT LUONG'!$A$22:$F$42</definedName>
    <definedName name="DD0130040_486" localSheetId="37">'MẪU C13-TT LUONG'!$A$22:$F$49</definedName>
    <definedName name="DD0130040_487" localSheetId="37">'MẪU C13-TT LUONG'!$A$9:$F$42</definedName>
    <definedName name="DD0130040_488" localSheetId="37">'MẪU C13-TT LUONG'!$A$9:$F$42</definedName>
    <definedName name="DD0130040_489" localSheetId="37">'MẪU C13-TT LUONG'!$A$9:$F$40</definedName>
    <definedName name="DD0130040_490" localSheetId="37">'MẪU C13-TT LUONG'!$A$9:$F$29</definedName>
    <definedName name="DD0130040_491" localSheetId="37">'MẪU C13-TT LUONG'!$A$9:$F$27</definedName>
    <definedName name="DD0130040_492" localSheetId="37">'MẪU C13-TT LUONG'!$A$9:$F$51</definedName>
    <definedName name="DD0130040_493" localSheetId="37">'MẪU C13-TT LUONG'!$A$9:$F$27</definedName>
    <definedName name="DD0130040_494" localSheetId="37">'MẪU C13-TT LUONG'!$A$9:$F$40</definedName>
    <definedName name="DD0130040_495" localSheetId="37">'MẪU C13-TT LUONG'!$A$9:$F$40</definedName>
    <definedName name="DD0130040_496" localSheetId="37">'MẪU C13-TT LUONG'!$A$9:$F$40</definedName>
    <definedName name="DD0130040_497" localSheetId="37">'MẪU C13-TT LUONG'!$A$9:$F$40</definedName>
    <definedName name="DD0130040_498" localSheetId="37">'MẪU C13-TT LUONG'!$A$9:$F$29</definedName>
    <definedName name="DD0130040_499" localSheetId="37">'MẪU C13-TT LUONG'!$A$9:$F$27</definedName>
    <definedName name="DD0130040_500" localSheetId="37">'MẪU C13-TT LUONG'!$A$9:$F$51</definedName>
    <definedName name="DD0130040_501" localSheetId="37">'MẪU C13-TT LUONG'!$A$9:$F$27</definedName>
    <definedName name="DD0130040_502" localSheetId="37">'MẪU C13-TT LUONG'!$A$9:$F$40</definedName>
    <definedName name="DD0130040_503" localSheetId="37">'MẪU C13-TT LUONG'!$A$9:$F$40</definedName>
    <definedName name="DD0130040_504" localSheetId="37">'MẪU C13-TT LUONG'!$A$9:$F$40</definedName>
    <definedName name="DD0130040_505" localSheetId="37">'MẪU C13-TT LUONG'!$A$9:$F$40</definedName>
    <definedName name="DD0130040_506" localSheetId="37">'MẪU C13-TT LUONG'!$A$9:$F$51</definedName>
    <definedName name="DD0130040_507" localSheetId="37">'MẪU C13-TT LUONG'!$A$22:$F$50</definedName>
    <definedName name="DD0130040_508" localSheetId="37">'MẪU C13-TT LUONG'!$A$13:$F$37</definedName>
    <definedName name="DD0130040_509" localSheetId="37">'MẪU C13-TT LUONG'!$A$13:$F$37</definedName>
    <definedName name="DD0130040_510" localSheetId="37">'MẪU C13-TT LUONG'!$A$13:$F$37</definedName>
    <definedName name="DD0130040_511" localSheetId="37">'MẪU C13-TT LUONG'!$A$13:$F$42</definedName>
    <definedName name="DD0130040_512" localSheetId="37">'MẪU C13-TT LUONG'!$A$13:$F$37</definedName>
    <definedName name="DD0130040_513" localSheetId="37">'MẪU C13-TT LUONG'!$A$13:$F$37</definedName>
    <definedName name="DD0130040_514" localSheetId="37">'MẪU C13-TT LUONG'!$A$13:$F$37</definedName>
    <definedName name="DD0130040_515" localSheetId="37">'MẪU C13-TT LUONG'!$A$13:$F$42</definedName>
    <definedName name="DD0130040_516" localSheetId="37">'MẪU C13-TT LUONG'!$A$9:$F$43</definedName>
    <definedName name="DD0130040_517" localSheetId="37">'MẪU C13-TT LUONG'!$A$9:$F$36</definedName>
    <definedName name="DD0130040_518" localSheetId="37">'MẪU C13-TT LUONG'!$A$9:$F$36</definedName>
    <definedName name="DD0130040_519" localSheetId="37">'MẪU C13-TT LUONG'!$A$9:$F$36</definedName>
    <definedName name="DD0130040_520" localSheetId="37">'MẪU C13-TT LUONG'!$A$9:$F$36</definedName>
    <definedName name="DD0130040_521" localSheetId="37">'MẪU C13-TT LUONG'!$A$9:$F$36</definedName>
    <definedName name="DD0130040_522" localSheetId="37">'MẪU C13-TT LUONG'!$A$9:$F$43</definedName>
    <definedName name="DD0130040_523" localSheetId="37">'MẪU C13-TT LUONG'!$A$9:$F$36</definedName>
    <definedName name="DD0130040_524" localSheetId="37">'MẪU C13-TT LUONG'!$A$9:$F$36</definedName>
    <definedName name="DD0130040_525" localSheetId="37">'MẪU C13-TT LUONG'!$A$9:$F$36</definedName>
    <definedName name="DD0130040_526" localSheetId="37">'MẪU C13-TT LUONG'!$A$9:$F$36</definedName>
    <definedName name="DD0130040_527" localSheetId="37">'MẪU C13-TT LUONG'!$A$9:$F$36</definedName>
    <definedName name="DD0130040_528" localSheetId="37">'MẪU C13-TT LUONG'!$A$9:$F$36</definedName>
    <definedName name="DD0130040_529" localSheetId="37">'MẪU C13-TT LUONG'!$A$9:$F$36</definedName>
    <definedName name="DD0130040_530" localSheetId="37">'MẪU C13-TT LUONG'!$A$9:$F$43</definedName>
    <definedName name="DD0130040_531" localSheetId="37">'MẪU C13-TT LUONG'!$A$9:$F$36</definedName>
    <definedName name="DD0130040_532" localSheetId="37">'MẪU C13-TT LUONG'!$A$9:$F$36</definedName>
    <definedName name="DD0130040_533" localSheetId="37">'MẪU C13-TT LUONG'!$A$9:$F$36</definedName>
    <definedName name="DD0130040_534" localSheetId="37">'MẪU C13-TT LUONG'!$A$9:$F$37</definedName>
    <definedName name="DD0130040_535" localSheetId="37">'MẪU C13-TT LUONG'!$A$9:$F$37</definedName>
    <definedName name="DD0130040_536" localSheetId="37">'MẪU C13-TT LUONG'!$A$9:$F$41</definedName>
    <definedName name="DD0130040_537" localSheetId="37">'MẪU C13-TT LUONG'!$A$9:$F$36</definedName>
    <definedName name="DD0130040_538" localSheetId="37">'MẪU C13-TT LUONG'!$A$9:$F$36</definedName>
    <definedName name="DD0130040_539" localSheetId="37">'MẪU C13-TT LUONG'!$A$9:$F$36</definedName>
    <definedName name="DD0130040_540" localSheetId="37">'MẪU C13-TT LUONG'!$A$9:$F$36</definedName>
    <definedName name="DD0130040_541" localSheetId="37">'MẪU C13-TT LUONG'!$A$9:$F$36</definedName>
    <definedName name="DD0130040_542" localSheetId="37">'MẪU C13-TT LUONG'!$A$9:$F$41</definedName>
    <definedName name="DD0130040_543" localSheetId="37">'MẪU C13-TT LUONG'!$A$9:$F$36</definedName>
    <definedName name="DD0130040_544" localSheetId="37">'MẪU C13-TT LUONG'!$A$9:$F$36</definedName>
    <definedName name="DD0130040_545" localSheetId="37">'MẪU C13-TT LUONG'!$A$9:$F$36</definedName>
    <definedName name="DD0130040_546" localSheetId="37">'MẪU C13-TT LUONG'!$A$9:$F$36</definedName>
    <definedName name="DD0130040_547" localSheetId="37">'MẪU C13-TT LUONG'!$A$9:$F$36</definedName>
    <definedName name="DD0130040_548" localSheetId="37">'MẪU C13-TT LUONG'!$A$9:$F$36</definedName>
    <definedName name="DD0130040_549" localSheetId="37">'MẪU C13-TT LUONG'!$A$9:$F$36</definedName>
    <definedName name="DD0130040_550" localSheetId="37">'MẪU C13-TT LUONG'!$A$9:$F$41</definedName>
    <definedName name="DD0130040_551" localSheetId="37">'MẪU C13-TT LUONG'!$A$9:$F$36</definedName>
    <definedName name="DD0130040_552" localSheetId="37">'MẪU C13-TT LUONG'!$A$9:$F$36</definedName>
    <definedName name="DD0130040_553" localSheetId="37">'MẪU C13-TT LUONG'!$A$9:$F$36</definedName>
    <definedName name="DD0130040_554" localSheetId="37">'MẪU C13-TT LUONG'!$A$9:$F$37</definedName>
    <definedName name="DD0130040_555" localSheetId="37">'MẪU C13-TT LUONG'!$A$9:$F$37</definedName>
    <definedName name="DD0130040_556" localSheetId="37">'MẪU C13-TT LUONG'!$A$13:$F$43</definedName>
    <definedName name="DD0130040_557" localSheetId="37">'MẪU C13-TT LUONG'!$A$13:$F$37</definedName>
    <definedName name="DD0130040_558" localSheetId="37">'MẪU C13-TT LUONG'!$A$13:$F$37</definedName>
    <definedName name="DD0130040_559" localSheetId="37">'MẪU C13-TT LUONG'!$A$13:$F$37</definedName>
    <definedName name="DD0130040_560" localSheetId="37">'MẪU C13-TT LUONG'!$A$13:$F$37</definedName>
    <definedName name="DD0130040_561" localSheetId="37">'MẪU C13-TT LUONG'!$A$13:$F$37</definedName>
    <definedName name="DD0130040_562" localSheetId="37">'MẪU C13-TT LUONG'!$A$13:$F$43</definedName>
    <definedName name="DD0130040_563" localSheetId="37">'MẪU C13-TT LUONG'!$A$13:$F$37</definedName>
    <definedName name="DD0130040_564" localSheetId="37">'MẪU C13-TT LUONG'!$A$13:$F$37</definedName>
    <definedName name="DD0130040_565" localSheetId="37">'MẪU C13-TT LUONG'!$A$13:$F$37</definedName>
    <definedName name="DD0130040_566" localSheetId="37">'MẪU C13-TT LUONG'!$A$13:$F$37</definedName>
    <definedName name="DD0130040_567" localSheetId="37">'MẪU C13-TT LUONG'!$A$13:$F$37</definedName>
    <definedName name="DD0130040_568" localSheetId="37">'MẪU C13-TT LUONG'!$A$13:$F$37</definedName>
    <definedName name="DD0130040_569" localSheetId="37">'MẪU C13-TT LUONG'!$A$13:$F$37</definedName>
    <definedName name="DD0130040_570" localSheetId="37">'MẪU C13-TT LUONG'!$A$13:$F$43</definedName>
    <definedName name="DD0130040_571" localSheetId="37">'MẪU C13-TT LUONG'!$A$13:$F$37</definedName>
    <definedName name="DD0130040_572" localSheetId="37">'MẪU C13-TT LUONG'!$A$13:$F$37</definedName>
    <definedName name="DD0130040_573" localSheetId="37">'MẪU C13-TT LUONG'!$A$13:$F$37</definedName>
    <definedName name="DD0130040_574" localSheetId="37">'MẪU C13-TT LUONG'!$A$13:$F$39</definedName>
    <definedName name="DD0130040_575" localSheetId="37">'MẪU C13-TT LUONG'!$A$13:$F$44</definedName>
    <definedName name="DD0130040_576" localSheetId="37">'MẪU C13-TT LUONG'!$A$13:$F$37</definedName>
    <definedName name="DD0130040_577" localSheetId="37">'MẪU C13-TT LUONG'!$A$13:$F$37</definedName>
    <definedName name="DD0130040_578" localSheetId="37">'MẪU C13-TT LUONG'!$A$13:$F$37</definedName>
    <definedName name="DD0130040_579" localSheetId="37">'MẪU C13-TT LUONG'!$A$13:$F$37</definedName>
    <definedName name="DD0130040_580" localSheetId="37">'MẪU C13-TT LUONG'!$A$13:$F$37</definedName>
    <definedName name="DD0130040_581" localSheetId="37">'MẪU C13-TT LUONG'!$A$13:$F$44</definedName>
    <definedName name="DD0130040_582" localSheetId="37">'MẪU C13-TT LUONG'!$A$13:$F$37</definedName>
    <definedName name="DD0130040_583" localSheetId="37">'MẪU C13-TT LUONG'!$A$13:$F$37</definedName>
    <definedName name="DD0130040_584" localSheetId="37">'MẪU C13-TT LUONG'!$A$13:$F$37</definedName>
    <definedName name="DD0130040_585" localSheetId="37">'MẪU C13-TT LUONG'!$A$13:$F$37</definedName>
    <definedName name="DD0130040_586" localSheetId="37">'MẪU C13-TT LUONG'!$A$13:$F$37</definedName>
    <definedName name="DD0130040_587" localSheetId="37">'MẪU C13-TT LUONG'!$A$13:$F$37</definedName>
    <definedName name="DD0130040_588" localSheetId="37">'MẪU C13-TT LUONG'!$A$13:$F$37</definedName>
    <definedName name="DD0130040_589" localSheetId="37">'MẪU C13-TT LUONG'!$A$13:$F$44</definedName>
    <definedName name="DD0130040_590" localSheetId="37">'MẪU C13-TT LUONG'!$A$13:$F$37</definedName>
    <definedName name="DD0130040_591" localSheetId="37">'MẪU C13-TT LUONG'!$A$13:$F$37</definedName>
    <definedName name="DD0130040_592" localSheetId="37">'MẪU C13-TT LUONG'!$A$13:$F$37</definedName>
    <definedName name="DD0130040_593" localSheetId="37">'MẪU C13-TT LUONG'!$A$13:$F$37</definedName>
    <definedName name="DD0130040_594" localSheetId="37">'MẪU C13-TT LUONG'!$A$13:$F$37</definedName>
    <definedName name="DD0130040_595" localSheetId="37">'MẪU C13-TT LUONG'!$A$13:$F$37</definedName>
    <definedName name="DD0130040_596" localSheetId="37">'MẪU C13-TT LUONG'!$A$13:$F$37</definedName>
    <definedName name="DD0130040_597" localSheetId="37">'MẪU C13-TT LUONG'!$A$13:$F$37</definedName>
    <definedName name="DD0130040_598" localSheetId="37">'MẪU C13-TT LUONG'!$A$13:$F$43</definedName>
    <definedName name="DD0130040_599" localSheetId="37">'MẪU C13-TT LUONG'!$A$13:$F$37</definedName>
    <definedName name="DD0130040_600" localSheetId="37">'MẪU C13-TT LUONG'!$A$13:$F$37</definedName>
    <definedName name="DD0130040_601" localSheetId="37">'MẪU C13-TT LUONG'!$A$13:$F$37</definedName>
    <definedName name="DD0130040_602" localSheetId="37">'MẪU C13-TT LUONG'!$A$13:$F$37</definedName>
    <definedName name="DD0130040_603" localSheetId="37">'MẪU C13-TT LUONG'!$A$13:$F$37</definedName>
    <definedName name="DD0130040_604" localSheetId="37">'MẪU C13-TT LUONG'!$A$13:$F$37</definedName>
    <definedName name="DD0130040_605" localSheetId="37">'MẪU C13-TT LUONG'!$A$13:$F$37</definedName>
    <definedName name="DD0130040_606" localSheetId="37">'MẪU C13-TT LUONG'!$A$13:$F$43</definedName>
    <definedName name="DD0130040_607" localSheetId="37">'MẪU C13-TT LUONG'!$A$13:$F$37</definedName>
    <definedName name="DD0130040_608" localSheetId="37">'MẪU C13-TT LUONG'!$A$13:$F$37</definedName>
    <definedName name="DD0130040_609" localSheetId="37">'MẪU C13-TT LUONG'!$A$13:$F$37</definedName>
    <definedName name="DD0130040_610" localSheetId="37">'MẪU C13-TT LUONG'!$A$13:$F$37</definedName>
    <definedName name="DD0130040_611" localSheetId="37">'MẪU C13-TT LUONG'!$A$13:$F$37</definedName>
    <definedName name="DD0130040_612" localSheetId="37">'MẪU C13-TT LUONG'!$A$13:$F$37</definedName>
    <definedName name="DD0130040_613" localSheetId="37">'MẪU C13-TT LUONG'!$A$13:$F$37</definedName>
    <definedName name="DD0130040_614" localSheetId="37">'MẪU C13-TT LUONG'!$A$13:$F$43</definedName>
    <definedName name="DD0130040_615" localSheetId="37">'MẪU C13-TT LUONG'!$A$13:$F$37</definedName>
    <definedName name="DD0130040_616" localSheetId="37">'MẪU C13-TT LUONG'!$A$13:$F$37</definedName>
    <definedName name="DD0130040_617" localSheetId="37">'MẪU C13-TT LUONG'!$A$13:$F$37</definedName>
    <definedName name="DD0130040_618" localSheetId="37">'MẪU C13-TT LUONG'!$A$13:$F$37</definedName>
    <definedName name="DD0130040_619" localSheetId="37">'MẪU C13-TT LUONG'!$A$13:$F$41</definedName>
    <definedName name="DD0130040_620" localSheetId="37">'MẪU C13-TT LUONG'!$A$13:$F$37</definedName>
    <definedName name="DD0130040_621" localSheetId="37">'MẪU C13-TT LUONG'!$A$22:$F$41</definedName>
    <definedName name="DD0130040_622" localSheetId="37">'MẪU C13-TT LUONG'!$A$22:$F$48</definedName>
    <definedName name="DD0130040_623" localSheetId="37">'MẪU C13-TT LUONG'!$A$9:$F$41</definedName>
    <definedName name="DD0130040_624" localSheetId="37">'MẪU C13-TT LUONG'!$A$9:$F$41</definedName>
    <definedName name="DD0130040_625" localSheetId="37">'MẪU C13-TT LUONG'!$A$9:$F$40</definedName>
    <definedName name="DD0130040_626" localSheetId="37">'MẪU C13-TT LUONG'!$A$9:$F$28</definedName>
    <definedName name="DD0130040_627" localSheetId="37">'MẪU C13-TT LUONG'!$A$9:$F$26</definedName>
    <definedName name="DD0130040_628" localSheetId="37">'MẪU C13-TT LUONG'!$A$9:$F$50</definedName>
    <definedName name="DD0130040_629" localSheetId="37">'MẪU C13-TT LUONG'!$A$9:$F$26</definedName>
    <definedName name="DD0130040_630" localSheetId="37">'MẪU C13-TT LUONG'!$A$9:$F$40</definedName>
    <definedName name="DD0130040_631" localSheetId="37">'MẪU C13-TT LUONG'!$A$9:$F$40</definedName>
    <definedName name="DD0130040_632" localSheetId="37">'MẪU C13-TT LUONG'!$A$9:$F$40</definedName>
    <definedName name="DD0130040_633" localSheetId="37">'MẪU C13-TT LUONG'!$A$9:$F$40</definedName>
    <definedName name="DD0130040_634" localSheetId="37">'MẪU C13-TT LUONG'!$A$9:$F$28</definedName>
    <definedName name="DD0130040_635" localSheetId="37">'MẪU C13-TT LUONG'!$A$9:$F$26</definedName>
    <definedName name="DD0130040_636" localSheetId="37">'MẪU C13-TT LUONG'!$A$9:$F$50</definedName>
    <definedName name="DD0130040_637" localSheetId="37">'MẪU C13-TT LUONG'!$A$9:$F$26</definedName>
    <definedName name="DD0130040_638" localSheetId="37">'MẪU C13-TT LUONG'!$A$9:$F$40</definedName>
    <definedName name="DD0130040_639" localSheetId="37">'MẪU C13-TT LUONG'!$A$9:$F$40</definedName>
    <definedName name="DD0130040_640" localSheetId="37">'MẪU C13-TT LUONG'!$A$9:$F$40</definedName>
    <definedName name="DD0130040_641" localSheetId="37">'MẪU C13-TT LUONG'!$A$9:$F$40</definedName>
    <definedName name="DD0130040_642" localSheetId="37">'MẪU C13-TT LUONG'!$A$9:$F$50</definedName>
    <definedName name="DD0130040_643" localSheetId="37">'MẪU C13-TT LUONG'!$A$22:$F$49</definedName>
    <definedName name="DD0130040_644" localSheetId="37">'MẪU C13-TT LUONG'!$A$13:$F$37</definedName>
    <definedName name="DD0130040_645" localSheetId="37">'MẪU C13-TT LUONG'!$A$13:$F$37</definedName>
    <definedName name="DD0130040_646" localSheetId="37">'MẪU C13-TT LUONG'!$A$13:$F$42</definedName>
    <definedName name="DD0130040_647" localSheetId="37">'MẪU C13-TT LUONG'!$A$13:$F$37</definedName>
    <definedName name="DD0130040_648" localSheetId="37">'MẪU C13-TT LUONG'!$A$13:$F$37</definedName>
    <definedName name="DD0130040_649" localSheetId="37">'MẪU C13-TT LUONG'!$A$13:$F$37</definedName>
    <definedName name="DD0130040_650" localSheetId="37">'MẪU C13-TT LUONG'!$A$13:$F$37</definedName>
    <definedName name="DD0130040_651" localSheetId="37">'MẪU C13-TT LUONG'!$A$13:$F$42</definedName>
    <definedName name="DD0130040_652" localSheetId="37">'MẪU C13-TT LUONG'!$A$13:$F$37</definedName>
    <definedName name="DD0130040_653" localSheetId="37">'MẪU C13-TT LUONG'!$A$13:$F$37</definedName>
    <definedName name="DD0130040_654" localSheetId="37">'MẪU C13-TT LUONG'!$A$22:$F$41</definedName>
    <definedName name="DD0130040_655" localSheetId="37">'MẪU C13-TT LUONG'!$A$22:$F$48</definedName>
    <definedName name="DD0130040_656" localSheetId="37">'MẪU C13-TT LUONG'!$A$9:$F$41</definedName>
    <definedName name="DD0130040_657" localSheetId="37">'MẪU C13-TT LUONG'!$A$9:$F$41</definedName>
    <definedName name="DD0130040_658" localSheetId="37">'MẪU C13-TT LUONG'!$A$9:$F$40</definedName>
    <definedName name="DD0130040_659" localSheetId="37">'MẪU C13-TT LUONG'!$A$9:$F$28</definedName>
    <definedName name="DD0130040_660" localSheetId="37">'MẪU C13-TT LUONG'!$A$9:$F$26</definedName>
    <definedName name="DD0130040_661" localSheetId="37">'MẪU C13-TT LUONG'!$A$9:$F$50</definedName>
    <definedName name="DD0130040_662" localSheetId="37">'MẪU C13-TT LUONG'!$A$9:$F$26</definedName>
    <definedName name="DD0130040_663" localSheetId="37">'MẪU C13-TT LUONG'!$A$9:$F$40</definedName>
    <definedName name="DD0130040_664" localSheetId="37">'MẪU C13-TT LUONG'!$A$9:$F$40</definedName>
    <definedName name="DD0130040_665" localSheetId="37">'MẪU C13-TT LUONG'!$A$9:$F$40</definedName>
    <definedName name="DD0130040_666" localSheetId="37">'MẪU C13-TT LUONG'!$A$9:$F$40</definedName>
    <definedName name="DD0130040_667" localSheetId="37">'MẪU C13-TT LUONG'!$A$9:$F$28</definedName>
    <definedName name="DD0130040_668" localSheetId="37">'MẪU C13-TT LUONG'!$A$9:$F$26</definedName>
    <definedName name="DD0130040_669" localSheetId="37">'MẪU C13-TT LUONG'!$A$9:$F$50</definedName>
    <definedName name="DD0130040_670" localSheetId="37">'MẪU C13-TT LUONG'!$A$9:$F$26</definedName>
    <definedName name="DD0130040_671" localSheetId="37">'MẪU C13-TT LUONG'!$A$9:$F$40</definedName>
    <definedName name="DD0130040_672" localSheetId="37">'MẪU C13-TT LUONG'!$A$9:$F$40</definedName>
    <definedName name="DD0130040_673" localSheetId="37">'MẪU C13-TT LUONG'!$A$9:$F$40</definedName>
    <definedName name="DD0130040_674" localSheetId="37">'MẪU C13-TT LUONG'!$A$9:$F$40</definedName>
    <definedName name="DD0130040_675" localSheetId="37">'MẪU C13-TT LUONG'!$A$9:$F$50</definedName>
    <definedName name="DD0130040_676" localSheetId="37">'MẪU C13-TT LUONG'!$A$22:$F$49</definedName>
    <definedName name="DD0130040_677" localSheetId="37">'MẪU C13-TT LUONG'!$A$13:$F$37</definedName>
    <definedName name="DD0130040_678" localSheetId="37">'MẪU C13-TT LUONG'!$A$13:$F$37</definedName>
    <definedName name="DD0130040_679" localSheetId="37">'MẪU C13-TT LUONG'!$A$13:$F$37</definedName>
    <definedName name="DD0130040_680" localSheetId="37">'MẪU C13-TT LUONG'!$A$13:$F$42</definedName>
    <definedName name="DD0130040_681" localSheetId="37">'MẪU C13-TT LUONG'!$A$13:$F$37</definedName>
    <definedName name="DD0130040_682" localSheetId="37">'MẪU C13-TT LUONG'!$A$13:$F$37</definedName>
    <definedName name="DD0130040_683" localSheetId="37">'MẪU C13-TT LUONG'!$A$13:$F$37</definedName>
    <definedName name="DD0130040_684" localSheetId="37">'MẪU C13-TT LUONG'!$A$13:$F$37</definedName>
    <definedName name="DD0130040_685" localSheetId="37">'MẪU C13-TT LUONG'!$A$13:$F$37</definedName>
    <definedName name="DD0130040_686" localSheetId="37">'MẪU C13-TT LUONG'!$A$13:$F$37</definedName>
    <definedName name="DD0130040_687" localSheetId="37">'MẪU C13-TT LUONG'!$A$13:$F$37</definedName>
    <definedName name="DD0130040_688" localSheetId="37">'MẪU C13-TT LUONG'!$A$13:$F$43</definedName>
    <definedName name="DD0130040_689" localSheetId="37">'MẪU C13-TT LUONG'!$A$13:$F$37</definedName>
    <definedName name="DD0130040_690" localSheetId="37">'MẪU C13-TT LUONG'!$A$13:$F$37</definedName>
    <definedName name="DD0130040_691" localSheetId="37">'MẪU C13-TT LUONG'!$A$13:$F$37</definedName>
    <definedName name="DD0130040_692" localSheetId="37">'MẪU C13-TT LUONG'!$A$13:$F$37</definedName>
    <definedName name="DD0130040_693" localSheetId="37">'MẪU C13-TT LUONG'!$A$13:$F$41</definedName>
    <definedName name="DD0130040_694" localSheetId="37">'MẪU C13-TT LUONG'!$A$13:$F$37</definedName>
    <definedName name="DD0130040_695" localSheetId="37">'MẪU C13-TT LUONG'!$A$22:$F$41</definedName>
    <definedName name="DD0130040_696" localSheetId="37">'MẪU C13-TT LUONG'!$A$22:$F$48</definedName>
    <definedName name="DD0130040_697" localSheetId="37">'MẪU C13-TT LUONG'!$A$9:$F$41</definedName>
    <definedName name="DD0130040_698" localSheetId="37">'MẪU C13-TT LUONG'!$A$9:$F$41</definedName>
    <definedName name="DD0130040_699" localSheetId="37">'MẪU C13-TT LUONG'!$A$9:$F$40</definedName>
    <definedName name="DD0130040_700" localSheetId="37">'MẪU C13-TT LUONG'!$A$9:$F$28</definedName>
    <definedName name="DD0130040_701" localSheetId="37">'MẪU C13-TT LUONG'!$A$9:$F$26</definedName>
    <definedName name="DD0130040_702" localSheetId="37">'MẪU C13-TT LUONG'!$A$9:$F$50</definedName>
    <definedName name="DD0130040_703" localSheetId="37">'MẪU C13-TT LUONG'!$A$9:$F$26</definedName>
    <definedName name="DD0130040_704" localSheetId="37">'MẪU C13-TT LUONG'!$A$9:$F$40</definedName>
    <definedName name="DD0130040_705" localSheetId="37">'MẪU C13-TT LUONG'!$A$9:$F$40</definedName>
    <definedName name="DD0130040_706" localSheetId="37">'MẪU C13-TT LUONG'!$A$9:$F$40</definedName>
    <definedName name="DD0130040_707" localSheetId="37">'MẪU C13-TT LUONG'!$A$9:$F$40</definedName>
    <definedName name="DD0130040_708" localSheetId="37">'MẪU C13-TT LUONG'!$A$9:$F$28</definedName>
    <definedName name="DD0130040_709" localSheetId="37">'MẪU C13-TT LUONG'!$A$9:$F$26</definedName>
    <definedName name="DD0130040_710" localSheetId="37">'MẪU C13-TT LUONG'!$A$9:$F$50</definedName>
    <definedName name="DD0130040_711" localSheetId="37">'MẪU C13-TT LUONG'!$A$9:$F$26</definedName>
    <definedName name="DD0130040_712" localSheetId="37">'MẪU C13-TT LUONG'!$A$9:$F$40</definedName>
    <definedName name="DD0130040_713" localSheetId="37">'MẪU C13-TT LUONG'!$A$9:$F$40</definedName>
    <definedName name="DD0130040_714" localSheetId="37">'MẪU C13-TT LUONG'!$A$9:$F$40</definedName>
    <definedName name="DD0130040_715" localSheetId="37">'MẪU C13-TT LUONG'!$A$9:$F$40</definedName>
    <definedName name="DD0130040_716" localSheetId="37">'MẪU C13-TT LUONG'!$A$9:$F$50</definedName>
    <definedName name="DD0130040_717" localSheetId="37">'MẪU C13-TT LUONG'!$A$22:$F$49</definedName>
    <definedName name="DD0130040_718" localSheetId="37">'MẪU C13-TT LUONG'!$A$13:$F$37</definedName>
    <definedName name="DD0130040_719" localSheetId="37">'MẪU C13-TT LUONG'!$A$13:$F$37</definedName>
    <definedName name="DD0130040_720" localSheetId="37">'MẪU C13-TT LUONG'!$A$13:$F$42</definedName>
    <definedName name="DD0130040_721" localSheetId="37">'MẪU C13-TT LUONG'!$A$13:$F$37</definedName>
    <definedName name="DD0130040_722" localSheetId="37">'MẪU C13-TT LUONG'!$A$13:$F$37</definedName>
    <definedName name="DD0130040_723" localSheetId="37">'MẪU C13-TT LUONG'!$A$13:$F$37</definedName>
    <definedName name="DD0130040_724" localSheetId="37">'MẪU C13-TT LUONG'!$A$13:$F$37</definedName>
    <definedName name="DD0130040_725" localSheetId="37">'MẪU C13-TT LUONG'!$A$13:$F$42</definedName>
    <definedName name="DD0130040_726" localSheetId="37">'MẪU C13-TT LUONG'!$A$13:$F$37</definedName>
    <definedName name="DD0130040_727" localSheetId="37">'MẪU C13-TT LUONG'!$A$13:$F$37</definedName>
    <definedName name="DD0130040_728" localSheetId="37">'MẪU C13-TT LUONG'!$A$22:$F$41</definedName>
    <definedName name="DD0130040_729" localSheetId="37">'MẪU C13-TT LUONG'!$A$22:$F$48</definedName>
    <definedName name="DD0130040_730" localSheetId="37">'MẪU C13-TT LUONG'!$A$9:$F$41</definedName>
    <definedName name="DD0130040_731" localSheetId="37">'MẪU C13-TT LUONG'!$A$9:$F$41</definedName>
    <definedName name="DD0130040_732" localSheetId="37">'MẪU C13-TT LUONG'!$A$9:$F$40</definedName>
    <definedName name="DD0130040_733" localSheetId="37">'MẪU C13-TT LUONG'!$A$9:$F$28</definedName>
    <definedName name="DD0130040_734" localSheetId="37">'MẪU C13-TT LUONG'!$A$9:$F$26</definedName>
    <definedName name="DD0130040_735" localSheetId="37">'MẪU C13-TT LUONG'!$A$9:$F$50</definedName>
    <definedName name="DD0130040_736" localSheetId="37">'MẪU C13-TT LUONG'!$A$9:$F$26</definedName>
    <definedName name="DD0130040_737" localSheetId="37">'MẪU C13-TT LUONG'!$A$9:$F$40</definedName>
    <definedName name="DD0130040_738" localSheetId="37">'MẪU C13-TT LUONG'!$A$9:$F$40</definedName>
    <definedName name="DD0130040_739" localSheetId="37">'MẪU C13-TT LUONG'!$A$9:$F$40</definedName>
    <definedName name="DD0130040_740" localSheetId="37">'MẪU C13-TT LUONG'!$A$9:$F$40</definedName>
    <definedName name="DD0130040_741" localSheetId="37">'MẪU C13-TT LUONG'!$A$9:$F$28</definedName>
    <definedName name="DD0130040_742" localSheetId="37">'MẪU C13-TT LUONG'!$A$9:$F$26</definedName>
    <definedName name="DD0130040_743" localSheetId="37">'MẪU C13-TT LUONG'!$A$9:$F$50</definedName>
    <definedName name="DD0130040_744" localSheetId="37">'MẪU C13-TT LUONG'!$A$9:$F$26</definedName>
    <definedName name="DD0130040_745" localSheetId="37">'MẪU C13-TT LUONG'!$A$9:$F$40</definedName>
    <definedName name="DD0130040_746" localSheetId="37">'MẪU C13-TT LUONG'!$A$9:$F$40</definedName>
    <definedName name="DD0130040_747" localSheetId="37">'MẪU C13-TT LUONG'!$A$9:$F$40</definedName>
    <definedName name="DD0130040_748" localSheetId="37">'MẪU C13-TT LUONG'!$A$9:$F$40</definedName>
    <definedName name="DD0130040_749" localSheetId="37">'MẪU C13-TT LUONG'!$A$9:$F$50</definedName>
    <definedName name="DD0130040_750" localSheetId="37">'MẪU C13-TT LUONG'!$A$22:$F$49</definedName>
    <definedName name="DD0130040_751" localSheetId="37">'MẪU C13-TT LUONG'!$A$13:$F$37</definedName>
    <definedName name="DD0130040_752" localSheetId="37">'MẪU C13-TT LUONG'!$A$13:$F$37</definedName>
    <definedName name="DD0130040_753" localSheetId="37">'MẪU C13-TT LUONG'!$A$13:$F$37</definedName>
    <definedName name="DD0130040_754" localSheetId="37">'MẪU C13-TT LUONG'!$A$13:$F$42</definedName>
    <definedName name="DD0130040_755" localSheetId="37">'MẪU C13-TT LUONG'!$A$13:$F$37</definedName>
    <definedName name="DD0130040_756" localSheetId="37">'MẪU C13-TT LUONG'!$A$13:$F$37</definedName>
    <definedName name="DD0130040_757" localSheetId="37">'MẪU C13-TT LUONG'!$A$13:$F$37</definedName>
    <definedName name="DD0130040_758" localSheetId="37">'MẪU C13-TT LUONG'!$A$13:$F$40</definedName>
    <definedName name="DD0130040_759" localSheetId="37">'MẪU C13-TT LUONG'!$A$13:$F$36</definedName>
    <definedName name="DD0130040_760" localSheetId="37">'MẪU C13-TT LUONG'!$A$22:$F$40</definedName>
    <definedName name="DD0130040_761" localSheetId="37">'MẪU C13-TT LUONG'!$A$22:$F$43</definedName>
    <definedName name="DD0130040_762" localSheetId="37">'MẪU C13-TT LUONG'!$A$9:$F$40</definedName>
    <definedName name="DD0130040_763" localSheetId="37">'MẪU C13-TT LUONG'!$A$9:$F$40</definedName>
    <definedName name="DD0130040_764" localSheetId="37">'MẪU C13-TT LUONG'!$A$9:$F$39</definedName>
    <definedName name="DD0130040_765" localSheetId="37">'MẪU C13-TT LUONG'!$A$9:$F$26</definedName>
    <definedName name="DD0130040_766" localSheetId="37">'MẪU C13-TT LUONG'!$A$9:$F$26</definedName>
    <definedName name="DD0130040_767" localSheetId="37">'MẪU C13-TT LUONG'!$A$9:$F$45</definedName>
    <definedName name="DD0130040_768" localSheetId="37">'MẪU C13-TT LUONG'!$A$9:$F$26</definedName>
    <definedName name="DD0130040_769" localSheetId="37">'MẪU C13-TT LUONG'!$A$9:$F$39</definedName>
    <definedName name="DD0130040_770" localSheetId="37">'MẪU C13-TT LUONG'!$A$9:$F$39</definedName>
    <definedName name="DD0130040_771" localSheetId="37">'MẪU C13-TT LUONG'!$A$9:$F$39</definedName>
    <definedName name="DD0130040_772" localSheetId="37">'MẪU C13-TT LUONG'!$A$9:$F$39</definedName>
    <definedName name="DD0130040_773" localSheetId="37">'MẪU C13-TT LUONG'!$A$9:$F$26</definedName>
    <definedName name="DD0130040_774" localSheetId="37">'MẪU C13-TT LUONG'!$A$9:$F$26</definedName>
    <definedName name="DD0130040_775" localSheetId="37">'MẪU C13-TT LUONG'!$A$9:$F$45</definedName>
    <definedName name="DD0130040_776" localSheetId="37">'MẪU C13-TT LUONG'!$A$9:$F$26</definedName>
    <definedName name="DD0130040_777" localSheetId="37">'MẪU C13-TT LUONG'!$A$9:$F$39</definedName>
    <definedName name="DD0130040_778" localSheetId="37">'MẪU C13-TT LUONG'!$A$9:$F$39</definedName>
    <definedName name="DD0130040_779" localSheetId="37">'MẪU C13-TT LUONG'!$A$9:$F$39</definedName>
    <definedName name="DD0130040_780" localSheetId="37">'MẪU C13-TT LUONG'!$A$9:$F$39</definedName>
    <definedName name="DD0130040_781" localSheetId="37">'MẪU C13-TT LUONG'!$A$9:$F$45</definedName>
    <definedName name="DD0130040_782" localSheetId="37">'MẪU C13-TT LUONG'!$A$22:$F$44</definedName>
    <definedName name="DD0130040_783" localSheetId="37">'MẪU C13-TT LUONG'!$A$13:$F$37</definedName>
    <definedName name="DD0130040_784" localSheetId="37">'MẪU C13-TT LUONG'!$A$13:$F$36</definedName>
    <definedName name="DD0130040_785" localSheetId="37">'MẪU C13-TT LUONG'!$A$13:$F$41</definedName>
    <definedName name="DD0130040_786" localSheetId="37">'MẪU C13-TT LUONG'!$A$13:$F$36</definedName>
    <definedName name="DD0130040_787" localSheetId="37">'MẪU C13-TT LUONG'!$A$13:$F$37</definedName>
    <definedName name="DD0130040_788" localSheetId="37">'MẪU C13-TT LUONG'!$A$13:$F$37</definedName>
    <definedName name="DD0130040_789" localSheetId="37">'MẪU C13-TT LUONG'!$A$13:$F$36</definedName>
    <definedName name="DD0130040_790" localSheetId="37">'MẪU C13-TT LUONG'!$A$13:$F$41</definedName>
    <definedName name="DD0130040_791" localSheetId="37">'MẪU C13-TT LUONG'!$A$13:$F$36</definedName>
    <definedName name="DD0130040_792" localSheetId="37">'MẪU C13-TT LUONG'!$A$13:$F$37</definedName>
    <definedName name="DD0130040_793" localSheetId="37">'MẪU C13-TT LUONG'!$A$22:$F$40</definedName>
    <definedName name="DD0130040_794" localSheetId="37">'MẪU C13-TT LUONG'!$A$22:$F$43</definedName>
    <definedName name="DD0130040_795" localSheetId="37">'MẪU C13-TT LUONG'!$A$9:$F$40</definedName>
    <definedName name="DD0130040_796" localSheetId="37">'MẪU C13-TT LUONG'!$A$9:$F$40</definedName>
    <definedName name="DD0130040_797" localSheetId="37">'MẪU C13-TT LUONG'!$A$9:$F$39</definedName>
    <definedName name="DD0130040_798" localSheetId="37">'MẪU C13-TT LUONG'!$A$9:$F$26</definedName>
    <definedName name="DD0130040_799" localSheetId="37">'MẪU C13-TT LUONG'!$A$9:$F$26</definedName>
    <definedName name="DD0130040_800" localSheetId="37">'MẪU C13-TT LUONG'!$A$9:$F$45</definedName>
    <definedName name="DD0130040_801" localSheetId="37">'MẪU C13-TT LUONG'!$A$9:$F$26</definedName>
    <definedName name="DD0130040_802" localSheetId="37">'MẪU C13-TT LUONG'!$A$9:$F$39</definedName>
    <definedName name="DD0130040_803" localSheetId="37">'MẪU C13-TT LUONG'!$A$9:$F$39</definedName>
    <definedName name="DD0130040_804" localSheetId="37">'MẪU C13-TT LUONG'!$A$9:$F$39</definedName>
    <definedName name="DD0130040_805" localSheetId="37">'MẪU C13-TT LUONG'!$A$9:$F$39</definedName>
    <definedName name="DD0130040_806" localSheetId="37">'MẪU C13-TT LUONG'!$A$9:$F$26</definedName>
    <definedName name="DD0130040_807" localSheetId="37">'MẪU C13-TT LUONG'!$A$9:$F$26</definedName>
    <definedName name="DD0130040_808" localSheetId="37">'MẪU C13-TT LUONG'!$A$9:$F$45</definedName>
    <definedName name="DD0130040_809" localSheetId="37">'MẪU C13-TT LUONG'!$A$9:$F$26</definedName>
    <definedName name="DD0130040_810" localSheetId="37">'MẪU C13-TT LUONG'!$A$9:$F$39</definedName>
    <definedName name="DD0130040_811" localSheetId="37">'MẪU C13-TT LUONG'!$A$9:$F$39</definedName>
    <definedName name="DD0130040_812" localSheetId="37">'MẪU C13-TT LUONG'!$A$9:$F$39</definedName>
    <definedName name="DD0130040_813" localSheetId="37">'MẪU C13-TT LUONG'!$A$9:$F$39</definedName>
    <definedName name="DD0130040_814" localSheetId="37">'MẪU C13-TT LUONG'!$A$9:$F$45</definedName>
    <definedName name="DD0130040_815" localSheetId="37">'MẪU C13-TT LUONG'!$A$22:$F$44</definedName>
    <definedName name="DD0130040_816" localSheetId="37">'MẪU C13-TT LUONG'!$A$13:$F$37</definedName>
    <definedName name="DD0130040_817" localSheetId="37">'MẪU C13-TT LUONG'!$A$13:$F$37</definedName>
    <definedName name="DD0130040_818" localSheetId="37">'MẪU C13-TT LUONG'!$A$13:$F$36</definedName>
    <definedName name="DD0130040_819" localSheetId="37">'MẪU C13-TT LUONG'!$A$13:$F$41</definedName>
    <definedName name="DD0130040_820" localSheetId="37">'MẪU C13-TT LUONG'!$A$13:$F$36</definedName>
    <definedName name="DD0130040_821" localSheetId="37">'MẪU C13-TT LUONG'!$A$13:$F$37</definedName>
    <definedName name="DD0130040_822" localSheetId="37">'MẪU C13-TT LUONG'!$A$13:$F$37</definedName>
    <definedName name="DD0130040_823" localSheetId="37">'MẪU C13-TT LUONG'!$A$13:$F$41</definedName>
    <definedName name="DD0130040_824" localSheetId="37">'MẪU C13-TT LUONG'!$A$9:$F$42</definedName>
    <definedName name="DD0130040_825" localSheetId="37">'MẪU C13-TT LUONG'!$A$9:$F$36</definedName>
    <definedName name="DD0130040_826" localSheetId="37">'MẪU C13-TT LUONG'!$A$9:$F$36</definedName>
    <definedName name="DD0130040_827" localSheetId="37">'MẪU C13-TT LUONG'!$A$9:$F$36</definedName>
    <definedName name="DD0130040_828" localSheetId="37">'MẪU C13-TT LUONG'!$A$9:$F$36</definedName>
    <definedName name="DD0130040_829" localSheetId="37">'MẪU C13-TT LUONG'!$A$9:$F$32</definedName>
    <definedName name="DD0130040_830" localSheetId="37">'MẪU C13-TT LUONG'!$A$9:$F$42</definedName>
    <definedName name="DD0130040_831" localSheetId="37">'MẪU C13-TT LUONG'!$A$9:$F$32</definedName>
    <definedName name="DD0130040_832" localSheetId="37">'MẪU C13-TT LUONG'!$A$9:$F$36</definedName>
    <definedName name="DD0130040_833" localSheetId="37">'MẪU C13-TT LUONG'!$A$9:$F$36</definedName>
    <definedName name="DD0130040_834" localSheetId="37">'MẪU C13-TT LUONG'!$A$9:$F$36</definedName>
    <definedName name="DD0130040_835" localSheetId="37">'MẪU C13-TT LUONG'!$A$9:$F$36</definedName>
    <definedName name="DD0130040_836" localSheetId="37">'MẪU C13-TT LUONG'!$A$9:$F$36</definedName>
    <definedName name="DD0130040_837" localSheetId="37">'MẪU C13-TT LUONG'!$A$9:$F$32</definedName>
    <definedName name="DD0130040_838" localSheetId="37">'MẪU C13-TT LUONG'!$A$9:$F$42</definedName>
    <definedName name="DD0130040_839" localSheetId="37">'MẪU C13-TT LUONG'!$A$9:$F$32</definedName>
    <definedName name="DD0130040_840" localSheetId="37">'MẪU C13-TT LUONG'!$A$9:$F$36</definedName>
    <definedName name="DD0130040_841" localSheetId="37">'MẪU C13-TT LUONG'!$A$9:$F$36</definedName>
    <definedName name="DD0130040_842" localSheetId="37">'MẪU C13-TT LUONG'!$A$9:$F$37</definedName>
    <definedName name="DD0130040_843" localSheetId="37">'MẪU C13-TT LUONG'!$A$9:$F$37</definedName>
    <definedName name="DD0130040_844" localSheetId="37">'MẪU C13-TT LUONG'!$A$12:$F$36</definedName>
    <definedName name="DD0130040_845" localSheetId="37">'MẪU C13-TT LUONG'!$A$12:$F$39</definedName>
    <definedName name="DD0130040_846" localSheetId="37">'MẪU C13-TT LUONG'!$A$12:$F$36</definedName>
    <definedName name="DD0130040_847" localSheetId="37">'MẪU C13-TT LUONG'!$A$12:$F$36</definedName>
    <definedName name="DD0130040_848" localSheetId="37">'MẪU C13-TT LUONG'!$A$22:$F$42</definedName>
    <definedName name="DD0130040_849" localSheetId="37">'MẪU C13-TT LUONG'!$A$9:$F$42</definedName>
    <definedName name="DD0130040_850" localSheetId="37">'MẪU C13-TT LUONG'!$A$9:$F$38</definedName>
    <definedName name="DD0130040_851" localSheetId="37">'MẪU C13-TT LUONG'!$A$9:$F$38</definedName>
    <definedName name="DD0130040_852" localSheetId="37">'MẪU C13-TT LUONG'!$A$9:$F$38</definedName>
    <definedName name="DD0130040_853" localSheetId="37">'MẪU C13-TT LUONG'!$A$9:$F$38</definedName>
    <definedName name="DD0130040_854" localSheetId="37">'MẪU C13-TT LUONG'!$A$9:$F$25</definedName>
    <definedName name="DD0130040_855" localSheetId="37">'MẪU C13-TT LUONG'!$A$9:$F$42</definedName>
    <definedName name="DD0130040_856" localSheetId="37">'MẪU C13-TT LUONG'!$A$9:$F$25</definedName>
    <definedName name="DD0130040_857" localSheetId="37">'MẪU C13-TT LUONG'!$A$9:$F$26</definedName>
    <definedName name="DD0130040_858" localSheetId="37">'MẪU C13-TT LUONG'!$A$9:$F$38</definedName>
    <definedName name="DD0130040_859" localSheetId="37">'MẪU C13-TT LUONG'!$A$9:$F$38</definedName>
    <definedName name="DD0130040_860" localSheetId="37">'MẪU C13-TT LUONG'!$A$9:$F$38</definedName>
    <definedName name="DD0130040_861" localSheetId="37">'MẪU C13-TT LUONG'!$A$9:$F$38</definedName>
    <definedName name="DD0130040_862" localSheetId="37">'MẪU C13-TT LUONG'!$A$9:$F$25</definedName>
    <definedName name="DD0130040_863" localSheetId="37">'MẪU C13-TT LUONG'!$A$9:$F$42</definedName>
    <definedName name="DD0130040_864" localSheetId="37">'MẪU C13-TT LUONG'!$A$9:$F$25</definedName>
    <definedName name="DD0130040_865" localSheetId="37">'MẪU C13-TT LUONG'!$A$9:$F$26</definedName>
    <definedName name="DD0130040_866" localSheetId="37">'MẪU C13-TT LUONG'!$A$9:$F$38</definedName>
    <definedName name="DD0130040_867" localSheetId="37">'MẪU C13-TT LUONG'!$A$9:$F$39</definedName>
    <definedName name="DD0130040_868" localSheetId="37">'MẪU C13-TT LUONG'!$A$9:$F$39</definedName>
    <definedName name="DD0130040_869" localSheetId="37">'MẪU C13-TT LUONG'!$A$22:$F$41</definedName>
    <definedName name="DD0130040_870" localSheetId="37">'MẪU C13-TT LUONG'!$A$22:$F$39</definedName>
    <definedName name="DD0130040_871" localSheetId="37">'MẪU C13-TT LUONG'!$A$12:$F$36</definedName>
    <definedName name="DD0130040_872" localSheetId="37">'MẪU C13-TT LUONG'!$A$12:$F$39</definedName>
    <definedName name="DD0130040_873" localSheetId="37">'MẪU C13-TT LUONG'!$A$12:$F$36</definedName>
    <definedName name="DD0130040_874" localSheetId="37">'MẪU C13-TT LUONG'!$A$12:$F$37</definedName>
    <definedName name="DD0130040_875" localSheetId="37">'MẪU C13-TT LUONG'!$A$12:$F$36</definedName>
    <definedName name="DD0130040_876" localSheetId="37">'MẪU C13-TT LUONG'!$A$12:$F$39</definedName>
    <definedName name="DD0130040_877" localSheetId="37">'MẪU C13-TT LUONG'!$A$12:$F$36</definedName>
    <definedName name="DD0130040_878" localSheetId="37">'MẪU C13-TT LUONG'!$A$12:$F$36</definedName>
    <definedName name="DD0130040_879" localSheetId="37">'MẪU C13-TT LUONG'!$A$13:$F$37</definedName>
    <definedName name="DD0130040_880" localSheetId="37">'MẪU C13-TT LUONG'!$A$13:$F$37</definedName>
    <definedName name="DD0130040_881" localSheetId="37">'MẪU C13-TT LUONG'!$A$13:$F$37</definedName>
    <definedName name="DD0130040_882" localSheetId="37">'MẪU C13-TT LUONG'!$A$13:$F$37</definedName>
    <definedName name="DD0130040_883" localSheetId="37">'MẪU C13-TT LUONG'!$A$13:$F$37</definedName>
    <definedName name="DD0130040_884" localSheetId="37">'MẪU C13-TT LUONG'!$A$13:$F$42</definedName>
    <definedName name="DD0130040_885" localSheetId="37">'MẪU C13-TT LUONG'!$A$13:$F$37</definedName>
    <definedName name="DD0130040_886" localSheetId="37">'MẪU C13-TT LUONG'!$A$13:$F$37</definedName>
    <definedName name="DD0130040_887" localSheetId="37">'MẪU C13-TT LUONG'!$A$13:$F$37</definedName>
    <definedName name="DD0130040_888" localSheetId="37">'MẪU C13-TT LUONG'!$A$13:$F$37</definedName>
    <definedName name="DD0130040_889" localSheetId="37">'MẪU C13-TT LUONG'!$A$13:$F$37</definedName>
    <definedName name="DD0130040_890" localSheetId="37">'MẪU C13-TT LUONG'!$A$13:$F$37</definedName>
    <definedName name="DD0130040_891" localSheetId="37">'MẪU C13-TT LUONG'!$A$13:$F$37</definedName>
    <definedName name="DD0130040_892" localSheetId="37">'MẪU C13-TT LUONG'!$A$13:$F$42</definedName>
    <definedName name="DD0130040_893" localSheetId="37">'MẪU C13-TT LUONG'!$A$13:$F$37</definedName>
    <definedName name="DD0130040_894" localSheetId="37">'MẪU C13-TT LUONG'!$A$13:$F$37</definedName>
    <definedName name="DD0130040_895" localSheetId="37">'MẪU C13-TT LUONG'!$A$13:$F$37</definedName>
    <definedName name="DD0130040_896" localSheetId="37">'MẪU C13-TT LUONG'!$A$13:$F$37</definedName>
    <definedName name="DD0130040_897" localSheetId="37">'MẪU C13-TT LUONG'!$A$13:$F$37</definedName>
    <definedName name="DD0130040_898" localSheetId="37">'MẪU C13-TT LUONG'!$A$13:$F$37</definedName>
    <definedName name="DD0130040_899" localSheetId="37">'MẪU C13-TT LUONG'!$A$13:$F$37</definedName>
    <definedName name="DD0130040_900" localSheetId="37">'MẪU C13-TT LUONG'!$A$13:$F$37</definedName>
    <definedName name="DD0130040_901" localSheetId="37">'MẪU C13-TT LUONG'!$A$13:$F$41</definedName>
    <definedName name="DD0130040_902" localSheetId="37">'MẪU C13-TT LUONG'!$A$13:$F$37</definedName>
    <definedName name="DD0130040_903" localSheetId="37">'MẪU C13-TT LUONG'!$A$13:$F$37</definedName>
    <definedName name="DD0130040_904" localSheetId="37">'MẪU C13-TT LUONG'!$A$13:$F$37</definedName>
    <definedName name="DD0130040_905" localSheetId="37">'MẪU C13-TT LUONG'!$A$22:$F$48</definedName>
    <definedName name="DD0130040_906" localSheetId="37">'MẪU C13-TT LUONG'!$A$9:$F$49</definedName>
    <definedName name="DD0130040_907" localSheetId="37">'MẪU C13-TT LUONG'!$A$9:$F$39</definedName>
    <definedName name="DD0130040_908" localSheetId="37">'MẪU C13-TT LUONG'!$A$9:$F$39</definedName>
    <definedName name="DD0130040_909" localSheetId="37">'MẪU C13-TT LUONG'!$A$9:$F$39</definedName>
    <definedName name="DD0130040_910" localSheetId="37">'MẪU C13-TT LUONG'!$A$9:$F$39</definedName>
    <definedName name="DD0130040_911" localSheetId="37">'MẪU C13-TT LUONG'!$A$9:$F$26</definedName>
    <definedName name="DD0130040_912" localSheetId="37">'MẪU C13-TT LUONG'!$A$9:$F$49</definedName>
    <definedName name="DD0130040_913" localSheetId="37">'MẪU C13-TT LUONG'!$A$9:$F$26</definedName>
    <definedName name="DD0130040_914" localSheetId="37">'MẪU C13-TT LUONG'!$A$9:$F$27</definedName>
    <definedName name="DD0130040_915" localSheetId="37">'MẪU C13-TT LUONG'!$A$9:$F$39</definedName>
    <definedName name="DD0130040_916" localSheetId="37">'MẪU C13-TT LUONG'!$A$9:$F$39</definedName>
    <definedName name="DD0130040_917" localSheetId="37">'MẪU C13-TT LUONG'!$A$9:$F$39</definedName>
    <definedName name="DD0130040_918" localSheetId="37">'MẪU C13-TT LUONG'!$A$9:$F$39</definedName>
    <definedName name="DD0130040_919" localSheetId="37">'MẪU C13-TT LUONG'!$A$9:$F$26</definedName>
    <definedName name="DD0130040_920" localSheetId="37">'MẪU C13-TT LUONG'!$A$9:$F$49</definedName>
    <definedName name="DD0130040_921" localSheetId="37">'MẪU C13-TT LUONG'!$A$9:$F$26</definedName>
    <definedName name="DD0130040_922" localSheetId="37">'MẪU C13-TT LUONG'!$A$9:$F$27</definedName>
    <definedName name="DD0130040_923" localSheetId="37">'MẪU C13-TT LUONG'!$A$9:$F$39</definedName>
    <definedName name="DD0130040_924" localSheetId="37">'MẪU C13-TT LUONG'!$A$9:$F$40</definedName>
    <definedName name="DD0130040_925" localSheetId="37">'MẪU C13-TT LUONG'!$A$9:$F$40</definedName>
    <definedName name="DD0130040_926" localSheetId="37">'MẪU C13-TT LUONG'!$A$22:$F$45</definedName>
    <definedName name="DD0130040_927" localSheetId="37">'MẪU C13-TT LUONG'!$A$22:$F$40</definedName>
    <definedName name="DD0130040_928" localSheetId="37">'MẪU C13-TT LUONG'!$A$13:$F$37</definedName>
    <definedName name="DD0130040_929" localSheetId="37">'MẪU C13-TT LUONG'!$A$13:$F$37</definedName>
    <definedName name="DD0130040_930" localSheetId="37">'MẪU C13-TT LUONG'!$A$13:$F$41</definedName>
    <definedName name="DD0130040_931" localSheetId="37">'MẪU C13-TT LUONG'!$A$13:$F$37</definedName>
    <definedName name="DD0130040_932" localSheetId="37">'MẪU C13-TT LUONG'!$A$13:$F$37</definedName>
    <definedName name="DD0130040_933" localSheetId="37">'MẪU C13-TT LUONG'!$A$13:$F$37</definedName>
    <definedName name="DD0130040_934" localSheetId="37">'MẪU C13-TT LUONG'!$A$13:$F$37</definedName>
    <definedName name="DD0130040_935" localSheetId="37">'MẪU C13-TT LUONG'!$A$13:$F$41</definedName>
    <definedName name="DD0130040_936" localSheetId="37">'MẪU C13-TT LUONG'!$A$13:$F$37</definedName>
    <definedName name="DD0130040_937" localSheetId="37">'MẪU C13-TT LUONG'!$A$13:$F$37</definedName>
    <definedName name="DD0130040_938" localSheetId="37">'MẪU C13-TT LUONG'!$A$22:$F$48</definedName>
    <definedName name="DD0130040_939" localSheetId="37">'MẪU C13-TT LUONG'!$A$9:$F$49</definedName>
    <definedName name="DD0130040_940" localSheetId="37">'MẪU C13-TT LUONG'!$A$9:$F$39</definedName>
    <definedName name="DD0130040_941" localSheetId="37">'MẪU C13-TT LUONG'!$A$9:$F$39</definedName>
    <definedName name="DD0130040_942" localSheetId="37">'MẪU C13-TT LUONG'!$A$9:$F$39</definedName>
    <definedName name="DD0130040_943" localSheetId="37">'MẪU C13-TT LUONG'!$A$9:$F$39</definedName>
    <definedName name="DD0130040_944" localSheetId="37">'MẪU C13-TT LUONG'!$A$9:$F$26</definedName>
    <definedName name="DD0130040_945" localSheetId="37">'MẪU C13-TT LUONG'!$A$9:$F$49</definedName>
    <definedName name="DD0130040_946" localSheetId="37">'MẪU C13-TT LUONG'!$A$9:$F$26</definedName>
    <definedName name="DD0130040_947" localSheetId="37">'MẪU C13-TT LUONG'!$A$9:$F$27</definedName>
    <definedName name="DD0130040_948" localSheetId="37">'MẪU C13-TT LUONG'!$A$9:$F$39</definedName>
    <definedName name="DD0130040_949" localSheetId="37">'MẪU C13-TT LUONG'!$A$9:$F$39</definedName>
    <definedName name="DD0130040_950" localSheetId="37">'MẪU C13-TT LUONG'!$A$9:$F$39</definedName>
    <definedName name="DD0130040_951" localSheetId="37">'MẪU C13-TT LUONG'!$A$9:$F$39</definedName>
    <definedName name="DD0130040_952" localSheetId="37">'MẪU C13-TT LUONG'!$A$9:$F$26</definedName>
    <definedName name="DD0130040_953" localSheetId="37">'MẪU C13-TT LUONG'!$A$9:$F$49</definedName>
    <definedName name="DD0130040_954" localSheetId="37">'MẪU C13-TT LUONG'!$A$9:$F$26</definedName>
    <definedName name="DD0130040_955" localSheetId="37">'MẪU C13-TT LUONG'!$A$9:$F$27</definedName>
    <definedName name="DD0130040_956" localSheetId="37">'MẪU C13-TT LUONG'!$A$9:$F$39</definedName>
    <definedName name="DD0130040_957" localSheetId="37">'MẪU C13-TT LUONG'!$A$9:$F$40</definedName>
    <definedName name="DD0130040_958" localSheetId="37">'MẪU C13-TT LUONG'!$A$9:$F$40</definedName>
    <definedName name="DD0130040_959" localSheetId="37">'MẪU C13-TT LUONG'!$A$22:$F$45</definedName>
    <definedName name="DD0130040_960" localSheetId="37">'MẪU C13-TT LUONG'!$A$22:$F$40</definedName>
    <definedName name="DD0130040_961" localSheetId="37">'MẪU C13-TT LUONG'!$A$13:$F$37</definedName>
    <definedName name="DD0130040_962" localSheetId="37">'MẪU C13-TT LUONG'!$A$13:$F$40</definedName>
    <definedName name="DD0130040_963" localSheetId="37">'MẪU C13-TT LUONG'!$A$13:$F$37</definedName>
    <definedName name="DD0130040_964" localSheetId="37">'MẪU C13-TT LUONG'!$A$13:$F$37</definedName>
    <definedName name="DD0130040_965" localSheetId="37">'MẪU C13-TT LUONG'!$A$13:$F$37</definedName>
    <definedName name="DD0130040_966" localSheetId="37">'MẪU C13-TT LUONG'!$A$13:$F$37</definedName>
    <definedName name="DD0130040_967" localSheetId="37">'MẪU C13-TT LUONG'!$A$13:$F$42</definedName>
    <definedName name="DD0130040_968" localSheetId="37">'MẪU C13-TT LUONG'!$A$13:$F$37</definedName>
    <definedName name="DD0130040_969" localSheetId="37">'MẪU C13-TT LUONG'!$A$13:$F$37</definedName>
    <definedName name="DD0130040_970" localSheetId="37">'MẪU C13-TT LUONG'!$A$13:$F$37</definedName>
    <definedName name="DD0130040_971" localSheetId="37">'MẪU C13-TT LUONG'!$A$13:$F$37</definedName>
    <definedName name="DD0130040_972" localSheetId="37">'MẪU C13-TT LUONG'!$A$13:$F$37</definedName>
    <definedName name="DD0130040_973" localSheetId="37">'MẪU C13-TT LUONG'!$A$13:$F$37</definedName>
    <definedName name="DD0130040_974" localSheetId="37">'MẪU C13-TT LUONG'!$A$13:$F$37</definedName>
    <definedName name="DD0130040_975" localSheetId="37">'MẪU C13-TT LUONG'!$A$13:$F$41</definedName>
    <definedName name="DD0130040_976" localSheetId="37">'MẪU C13-TT LUONG'!$A$13:$F$37</definedName>
    <definedName name="DD0130040_977" localSheetId="37">'MẪU C13-TT LUONG'!$A$13:$F$37</definedName>
    <definedName name="DD0130040_978" localSheetId="37">'MẪU C13-TT LUONG'!$A$13:$F$37</definedName>
    <definedName name="DD0130040_979" localSheetId="37">'MẪU C13-TT LUONG'!$A$22:$F$48</definedName>
    <definedName name="DD0130040_980" localSheetId="37">'MẪU C13-TT LUONG'!$A$9:$F$49</definedName>
    <definedName name="DD0130040_981" localSheetId="37">'MẪU C13-TT LUONG'!$A$9:$F$39</definedName>
    <definedName name="DD0130040_982" localSheetId="37">'MẪU C13-TT LUONG'!$A$9:$F$39</definedName>
    <definedName name="DD0130040_983" localSheetId="37">'MẪU C13-TT LUONG'!$A$9:$F$39</definedName>
    <definedName name="DD0130040_984" localSheetId="37">'MẪU C13-TT LUONG'!$A$9:$F$39</definedName>
    <definedName name="DD0130040_985" localSheetId="37">'MẪU C13-TT LUONG'!$A$9:$F$26</definedName>
    <definedName name="DD0130040_986" localSheetId="37">'MẪU C13-TT LUONG'!$A$9:$F$49</definedName>
    <definedName name="DD0130040_987" localSheetId="37">'MẪU C13-TT LUONG'!$A$9:$F$26</definedName>
    <definedName name="DD0130040_988" localSheetId="37">'MẪU C13-TT LUONG'!$A$9:$F$27</definedName>
    <definedName name="DD0130040_989" localSheetId="37">'MẪU C13-TT LUONG'!$A$9:$F$39</definedName>
    <definedName name="DD0130040_990" localSheetId="37">'MẪU C13-TT LUONG'!$A$9:$F$39</definedName>
    <definedName name="DD0130040_991" localSheetId="37">'MẪU C13-TT LUONG'!$A$9:$F$39</definedName>
    <definedName name="DD0130040_992" localSheetId="37">'MẪU C13-TT LUONG'!$A$9:$F$39</definedName>
    <definedName name="DD0130040_993" localSheetId="37">'MẪU C13-TT LUONG'!$A$9:$F$26</definedName>
    <definedName name="DD0130040_994" localSheetId="37">'MẪU C13-TT LUONG'!$A$9:$F$49</definedName>
    <definedName name="DD0130040_995" localSheetId="37">'MẪU C13-TT LUONG'!$A$9:$F$26</definedName>
    <definedName name="DD0130040_996" localSheetId="37">'MẪU C13-TT LUONG'!$A$9:$F$27</definedName>
    <definedName name="DD0130040_997" localSheetId="37">'MẪU C13-TT LUONG'!$A$9:$F$39</definedName>
    <definedName name="DD0130040_998" localSheetId="37">'MẪU C13-TT LUONG'!$A$9:$F$40</definedName>
    <definedName name="DD0130040_999" localSheetId="37">'MẪU C13-TT LUONG'!$A$9:$F$40</definedName>
    <definedName name="dochai" localSheetId="38">[1]dochai!$A$3:$IV$65536</definedName>
    <definedName name="dochai" localSheetId="37">[1]dochai!$A$3:$IV$65536</definedName>
    <definedName name="dochai">dochai!$3:$65536</definedName>
    <definedName name="hesochucvu_bc" localSheetId="38">[1]Luong_BC!$F$43</definedName>
    <definedName name="hesochucvu_bc" localSheetId="37">[1]Luong_BC!$F$43</definedName>
    <definedName name="hesochucvu_bc">Luong_BC!$F$40</definedName>
    <definedName name="hesochucvu_dh" localSheetId="38">[1]Luong_DH!$F$9</definedName>
    <definedName name="hesochucvu_dh" localSheetId="37">[1]Luong_DH!$F$9</definedName>
    <definedName name="hesochucvu_dh">Luong_DH!$F$9</definedName>
    <definedName name="hesochucvu_mt">#REF!</definedName>
    <definedName name="hesochucvu_vv" localSheetId="38">'[1]Luong VV'!$F$27</definedName>
    <definedName name="hesochucvu_vv" localSheetId="2">'Luong HĐ 68'!$F$10</definedName>
    <definedName name="hesochucvu_vv" localSheetId="37">'[1]Luong VV'!$F$27</definedName>
    <definedName name="hesochucvu_vv">'Luong VV'!$F$13</definedName>
    <definedName name="hesodochai_bc" localSheetId="38">[1]Luong_BC!$J$43</definedName>
    <definedName name="hesodochai_bc" localSheetId="37">[1]Luong_BC!$J$43</definedName>
    <definedName name="hesodochai_bc">Luong_BC!$J$40</definedName>
    <definedName name="hesodochai_dh" localSheetId="38">[1]Luong_DH!$J$9</definedName>
    <definedName name="hesodochai_dh" localSheetId="37">[1]Luong_DH!$J$9</definedName>
    <definedName name="hesodochai_dh">Luong_DH!$J$9</definedName>
    <definedName name="hesodochai_vv" localSheetId="38">'[1]Luong VV'!$J$27</definedName>
    <definedName name="hesodochai_vv" localSheetId="2">'Luong HĐ 68'!$J$10</definedName>
    <definedName name="hesodochai_vv" localSheetId="37">'[1]Luong VV'!$J$27</definedName>
    <definedName name="hesodochai_vv">'Luong VV'!$J$13</definedName>
    <definedName name="hesokhuvuc_bc" localSheetId="38">[1]Luong_BC!$H$43</definedName>
    <definedName name="hesokhuvuc_bc" localSheetId="37">[1]Luong_BC!$H$43</definedName>
    <definedName name="hesokhuvuc_bc">Luong_BC!$H$40</definedName>
    <definedName name="hesokhuvuc_dh" localSheetId="38">[1]Luong_DH!$H$9</definedName>
    <definedName name="hesokhuvuc_dh" localSheetId="37">[1]Luong_DH!$H$9</definedName>
    <definedName name="hesokhuvuc_dh">Luong_DH!$H$9</definedName>
    <definedName name="hesokhuvuc_mt">#REF!</definedName>
    <definedName name="hesokhuvuc_vv" localSheetId="38">'[1]Luong VV'!$H$27</definedName>
    <definedName name="hesokhuvuc_vv" localSheetId="2">'Luong HĐ 68'!$H$10</definedName>
    <definedName name="hesokhuvuc_vv" localSheetId="37">'[1]Luong VV'!$H$27</definedName>
    <definedName name="hesokhuvuc_vv">'Luong VV'!$H$13</definedName>
    <definedName name="hesokiemnhiem_bc" localSheetId="38">[1]Luong_BC!$M$43</definedName>
    <definedName name="hesokiemnhiem_bc" localSheetId="37">[1]Luong_BC!$M$43</definedName>
    <definedName name="hesokiemnhiem_bc">Luong_BC!$M$40</definedName>
    <definedName name="hesokiemnhiem_dh" localSheetId="38">[1]Luong_DH!$M$9</definedName>
    <definedName name="hesokiemnhiem_dh" localSheetId="37">[1]Luong_DH!$M$9</definedName>
    <definedName name="hesokiemnhiem_dh">Luong_DH!$M$9</definedName>
    <definedName name="hesoluongcanban_bc" localSheetId="38">[1]Luong_BC!$E$43</definedName>
    <definedName name="hesoluongcanban_bc" localSheetId="37">[1]Luong_BC!$E$43</definedName>
    <definedName name="hesoluongcanban_bc">Luong_BC!$E$40</definedName>
    <definedName name="hesoluongcanban_dh" localSheetId="38">[1]Luong_DH!$E$9</definedName>
    <definedName name="hesoluongcanban_dh" localSheetId="37">[1]Luong_DH!$E$9</definedName>
    <definedName name="hesoluongcanban_dh">Luong_DH!$E$9</definedName>
    <definedName name="hesoluongcanban_mt">#REF!</definedName>
    <definedName name="hesoluongcanban_vv" localSheetId="38">'[1]Luong VV'!$E$27</definedName>
    <definedName name="hesoluongcanban_vv" localSheetId="2">'Luong HĐ 68'!$E$10</definedName>
    <definedName name="hesoluongcanban_vv" localSheetId="37">'[1]Luong VV'!$E$27</definedName>
    <definedName name="hesoluongcanban_vv">'Luong VV'!$E$13</definedName>
    <definedName name="hesolvpc_bc">[2]Bangluong_bc!$O$38</definedName>
    <definedName name="hesolvpc_hd68">[2]Bangluong_hd68!$O$15</definedName>
    <definedName name="hesolvpc_hddh">[2]Bangluong_hddh!$O$18</definedName>
    <definedName name="hesopcln_1" localSheetId="38">'[1]Tro cap 116'!$H$42</definedName>
    <definedName name="hesopcln_1" localSheetId="37">'[1]Tro cap 116'!$H$42</definedName>
    <definedName name="hesopcln_1">'Tro cap 116'!$H$42</definedName>
    <definedName name="hesopcln_2" localSheetId="38">'[1]Tro cap 116'!$H$82</definedName>
    <definedName name="hesopcln_2" localSheetId="37">'[1]Tro cap 116'!$H$82</definedName>
    <definedName name="hesopcln_2">'Tro cap 116'!$H$77</definedName>
    <definedName name="hesơpcth70_1" localSheetId="38">'[1]Tro cap 116'!$G$42</definedName>
    <definedName name="hesơpcth70_1" localSheetId="37">'[1]Tro cap 116'!$G$42</definedName>
    <definedName name="hesơpcth70_1">'Tro cap 116'!$G$42</definedName>
    <definedName name="hesopcth70_2" localSheetId="38">'[1]Tro cap 116'!$G$82</definedName>
    <definedName name="hesopcth70_2" localSheetId="37">'[1]Tro cap 116'!$G$82</definedName>
    <definedName name="hesopcth70_2">'Tro cap 116'!$G$77</definedName>
    <definedName name="hesothamniennghe_bc" localSheetId="38">[1]Luong_BC!$I$43</definedName>
    <definedName name="hesothamniennghe_bc" localSheetId="37">[1]Luong_BC!$I$43</definedName>
    <definedName name="hesothamniennghe_bc">Luong_BC!$I$40</definedName>
    <definedName name="hesothamniennghe_dh" localSheetId="38">[1]Luong_DH!$I$9</definedName>
    <definedName name="hesothamniennghe_dh" localSheetId="37">[1]Luong_DH!$I$9</definedName>
    <definedName name="hesothamniennghe_dh">Luong_DH!$I$9</definedName>
    <definedName name="hesothamniennghe_vv" localSheetId="2">'Luong HĐ 68'!$I$10</definedName>
    <definedName name="hesothamniennghe_vv">'Luong VV'!$I$13</definedName>
    <definedName name="hesotrachnhiem_bc" localSheetId="38">[1]Luong_BC!$L$43</definedName>
    <definedName name="hesotrachnhiem_bc" localSheetId="37">[1]Luong_BC!$L$43</definedName>
    <definedName name="hesotrachnhiem_bc">Luong_BC!$L$40</definedName>
    <definedName name="hesotrachnhiem_dh" localSheetId="38">[1]Luong_DH!$L$9</definedName>
    <definedName name="hesotrachnhiem_dh" localSheetId="37">[1]Luong_DH!$L$9</definedName>
    <definedName name="hesotrachnhiem_dh">Luong_DH!$L$9</definedName>
    <definedName name="hesotrachnhiem_vv" localSheetId="38">'[1]Luong VV'!$L$27</definedName>
    <definedName name="hesotrachnhiem_vv" localSheetId="2">'Luong HĐ 68'!$L$10</definedName>
    <definedName name="hesotrachnhiem_vv" localSheetId="37">'[1]Luong VV'!$L$27</definedName>
    <definedName name="hesotrachnhiem_vv">'Luong VV'!$L$13</definedName>
    <definedName name="hesouudainghe_bc" localSheetId="38">[1]Luong_BC!$K$43</definedName>
    <definedName name="hesouudainghe_bc" localSheetId="37">[1]Luong_BC!$K$43</definedName>
    <definedName name="hesouudainghe_bc">Luong_BC!$K$40</definedName>
    <definedName name="hesouudainghe_dh" localSheetId="38">[1]Luong_DH!$K$9</definedName>
    <definedName name="hesouudainghe_dh" localSheetId="37">[1]Luong_DH!$K$9</definedName>
    <definedName name="hesouudainghe_dh">Luong_DH!$K$9</definedName>
    <definedName name="hesouudainghe_vv" localSheetId="38">'[1]Luong VV'!$K$27</definedName>
    <definedName name="hesouudainghe_vv" localSheetId="2">'Luong HĐ 68'!$K$10</definedName>
    <definedName name="hesouudainghe_vv" localSheetId="37">'[1]Luong VV'!$K$27</definedName>
    <definedName name="hesouudainghe_vv">'Luong VV'!$K$13</definedName>
    <definedName name="hesovuotkhung_bc" localSheetId="38">[1]Luong_BC!$G$43</definedName>
    <definedName name="hesovuotkhung_bc" localSheetId="37">[1]Luong_BC!$G$43</definedName>
    <definedName name="hesovuotkhung_bc">Luong_BC!$G$40</definedName>
    <definedName name="hesovuotkhung_dh" localSheetId="38">[1]Luong_DH!$G$9</definedName>
    <definedName name="hesovuotkhung_dh" localSheetId="37">[1]Luong_DH!$G$9</definedName>
    <definedName name="hesovuotkhung_dh">Luong_DH!$G$9</definedName>
    <definedName name="hesovuotkhung_mt">#REF!</definedName>
    <definedName name="hesovuotkhung_vv" localSheetId="38">'[1]Luong VV'!$G$27</definedName>
    <definedName name="hesovuotkhung_vv" localSheetId="2">'Luong HĐ 68'!$G$10</definedName>
    <definedName name="hesovuotkhung_vv" localSheetId="37">'[1]Luong VV'!$G$27</definedName>
    <definedName name="hesovuotkhung_vv">'Luong VV'!$G$13</definedName>
    <definedName name="kbhtn_1" localSheetId="38">[1]Luong_BC!$E$45</definedName>
    <definedName name="kbhtn_1" localSheetId="37">[1]Luong_BC!$E$45</definedName>
    <definedName name="kbhtn_1">Luong_BC!$E$42</definedName>
    <definedName name="kbhtn_2" localSheetId="38">[1]Luong_BC!$F$45</definedName>
    <definedName name="kbhtn_2" localSheetId="37">[1]Luong_BC!$F$45</definedName>
    <definedName name="kbhtn_2">Luong_BC!$F$42</definedName>
    <definedName name="kbhtn_3" localSheetId="38">[1]Luong_BC!$G$45</definedName>
    <definedName name="kbhtn_3" localSheetId="37">[1]Luong_BC!$G$45</definedName>
    <definedName name="kbhtn_3">Luong_BC!$G$42</definedName>
    <definedName name="kbhtn_5" localSheetId="38">[1]Luong_BC!$I$45</definedName>
    <definedName name="kbhtn_5" localSheetId="37">[1]Luong_BC!$I$45</definedName>
    <definedName name="kbhtn_5">Luong_BC!$I$42</definedName>
    <definedName name="ketoantruong_1">[2]Heso!$B$16</definedName>
    <definedName name="khoanviec_1">#REF!</definedName>
    <definedName name="khoanviec_2">#REF!</definedName>
    <definedName name="khongbhtn">[2]Bangluong_bc!$O$7</definedName>
    <definedName name="khuvuc" localSheetId="38">[1]khuvuc!$A$3:$IV$65536</definedName>
    <definedName name="khuvuc" localSheetId="37">[1]khuvuc!$A$3:$IV$65536</definedName>
    <definedName name="khuvuc">khuvuc!$3:$65536</definedName>
    <definedName name="kiemnhiem" localSheetId="38">[1]kiemnhiem!$A$3:$IV$65536</definedName>
    <definedName name="kiemnhiem" localSheetId="37">[1]kiemnhiem!$A$3:$IV$65536</definedName>
    <definedName name="kiemnhiem">kiemnhiem!$3:$65536</definedName>
    <definedName name="kpcd">heso!$B$7</definedName>
    <definedName name="kpcd_1">heso!$C$7</definedName>
    <definedName name="kpcd_2" localSheetId="38">[1]heso!$D$7</definedName>
    <definedName name="kpcd_2" localSheetId="37">[1]heso!$D$7</definedName>
    <definedName name="kpcd_2">heso!$D$7</definedName>
    <definedName name="kpcd_vqg">[2]Heso!$D$7</definedName>
    <definedName name="lapbieu_1">[2]Heso!$B$14</definedName>
    <definedName name="lb_1" localSheetId="38">[1]donvi!$B$3</definedName>
    <definedName name="lb_1" localSheetId="37">[1]donvi!$B$3</definedName>
    <definedName name="lb_1">donvi!$B$3</definedName>
    <definedName name="lb_2" localSheetId="38">[1]donvi!$B$4</definedName>
    <definedName name="lb_2" localSheetId="37">[1]donvi!$B$4</definedName>
    <definedName name="lb_2">donvi!$B$4</definedName>
    <definedName name="lb_3" localSheetId="38">[1]donvi!$B$5</definedName>
    <definedName name="lb_3" localSheetId="37">[1]donvi!$B$5</definedName>
    <definedName name="lb_3">donvi!$B$5</definedName>
    <definedName name="lb_4" localSheetId="38">[1]donvi!$B$6</definedName>
    <definedName name="lb_4" localSheetId="37">[1]donvi!$B$6</definedName>
    <definedName name="lb_4">donvi!$B$6</definedName>
    <definedName name="luongcanban" localSheetId="38">[2]Heso!$B$2</definedName>
    <definedName name="luongcanban" localSheetId="37">[1]heso!$B$3</definedName>
    <definedName name="luongcanban">heso!$B$3</definedName>
    <definedName name="luongcanban_1" localSheetId="38">[1]heso!$C$3</definedName>
    <definedName name="luongcanban_1" localSheetId="37">[1]heso!$C$3</definedName>
    <definedName name="luongcanban_1">heso!$C$3</definedName>
    <definedName name="luongcanban_2" localSheetId="38">[1]heso!$D$3</definedName>
    <definedName name="luongcanban_2" localSheetId="37">[1]heso!$D$3</definedName>
    <definedName name="luongcanban_2">heso!$D$3</definedName>
    <definedName name="mabacluong" localSheetId="38">[1]nhanvien!$C$3:$C$65536</definedName>
    <definedName name="mabacluong" localSheetId="37">[1]nhanvien!$C$3:$C$65536</definedName>
    <definedName name="mabacluong">nhanvien!$C$3:$C$65536</definedName>
    <definedName name="mabienche" localSheetId="38">[1]Luong_BC!$A$6:$A$65536</definedName>
    <definedName name="mabienche" localSheetId="37">[1]Luong_BC!$A$6:$A$65536</definedName>
    <definedName name="mabienche">Luong_BC!$A$6:$A$65536</definedName>
    <definedName name="machucvu" localSheetId="38">[1]nhanvien!$F$3:$F$65536</definedName>
    <definedName name="machucvu" localSheetId="37">[1]nhanvien!$F$3:$F$65536</definedName>
    <definedName name="machucvu">nhanvien!$F$3:$F$65536</definedName>
    <definedName name="madaihan">Luong_DH!$A$6:$A$65536</definedName>
    <definedName name="madang" localSheetId="38">'[1]Dang phi'!$A$8:$A$65536</definedName>
    <definedName name="madang" localSheetId="7">'Dang phi (2)'!$A$7:$A$65536</definedName>
    <definedName name="madang" localSheetId="37">'[1]Dang phi'!$A$8:$A$65536</definedName>
    <definedName name="madang">'Dang phi'!$A$8:$A$65536</definedName>
    <definedName name="madochai" localSheetId="38">[1]nhanvien!$R$3:$R$65536</definedName>
    <definedName name="madochai" localSheetId="37">[1]nhanvien!$R$3:$R$65536</definedName>
    <definedName name="madochai">nhanvien!$R$3:$R$65536</definedName>
    <definedName name="makhoanviec" localSheetId="38">[1]Khoanviec!$A$6:$A$65536</definedName>
    <definedName name="makhoanviec" localSheetId="37">[1]Khoanviec!$A$6:$A$65536</definedName>
    <definedName name="makhoanviec">Khoanviec!$A$6:$A$65536</definedName>
    <definedName name="makhuvuc" localSheetId="38">[1]nhanvien!$L$3:$L$65536</definedName>
    <definedName name="makhuvuc" localSheetId="37">[1]nhanvien!$L$3:$L$65536</definedName>
    <definedName name="makhuvuc">nhanvien!$L$3:$L$65536</definedName>
    <definedName name="makiemnhiem" localSheetId="38">[1]nhanvien!$AD$3:$AD$65536</definedName>
    <definedName name="makiemnhiem" localSheetId="37">[1]nhanvien!$AD$3:$AD$65536</definedName>
    <definedName name="makiemnhiem">nhanvien!$AD$3:$AD$65536</definedName>
    <definedName name="maluongkhoan">#REF!</definedName>
    <definedName name="mamoitruong">#REF!</definedName>
    <definedName name="manhanvien" localSheetId="38">[1]TH_LUONG!$A$3:$A$65536</definedName>
    <definedName name="manhanvien" localSheetId="37">[1]TH_LUONG!$A$3:$A$65536</definedName>
    <definedName name="manhanvien">TH_LUONG!$A$3:$A$65536</definedName>
    <definedName name="maphukienhopdong" localSheetId="38">[1]nhanvien!$AA$3:$AA$65536</definedName>
    <definedName name="maphukienhopdong" localSheetId="37">[1]nhanvien!$AA$3:$AA$65536</definedName>
    <definedName name="maphukienhopdong">nhanvien!$AA$3:$AA$65536</definedName>
    <definedName name="mathamniennghe" localSheetId="38">[1]nhanvien!$O$3:$O$65536</definedName>
    <definedName name="mathamniennghe" localSheetId="37">[1]nhanvien!$O$3:$O$65536</definedName>
    <definedName name="mathamniennghe">nhanvien!$O$3:$O$65536</definedName>
    <definedName name="matrachnhiem" localSheetId="38">[1]nhanvien!$X$3:$X$65536</definedName>
    <definedName name="matrachnhiem" localSheetId="37">[1]nhanvien!$X$3:$X$65536</definedName>
    <definedName name="matrachnhiem">nhanvien!$X$3:$X$65536</definedName>
    <definedName name="matrocap" localSheetId="38">'[1]Tro cap 116'!$A$8:$A$65536</definedName>
    <definedName name="matrocap" localSheetId="37">'[1]Tro cap 116'!$A$8:$A$65536</definedName>
    <definedName name="matrocap">'Tro cap 116'!$A$8:$A$65536</definedName>
    <definedName name="mauudainghe" localSheetId="38">[1]nhanvien!$U$3:$U$65536</definedName>
    <definedName name="mauudainghe" localSheetId="37">[1]nhanvien!$U$3:$U$65536</definedName>
    <definedName name="mauudainghe">nhanvien!$U$3:$U$65536</definedName>
    <definedName name="mavuotkhung" localSheetId="38">[1]nhanvien!$I$3:$I$65536</definedName>
    <definedName name="mavuotkhung" localSheetId="37">[1]nhanvien!$I$3:$I$65536</definedName>
    <definedName name="mavuotkhung">nhanvien!$I$3:$I$65536</definedName>
    <definedName name="mavuviec" localSheetId="38">'[1]Luong VV'!$A$7:$A$65536</definedName>
    <definedName name="mavuviec" localSheetId="2">'Luong HĐ 68'!$A$6:$A$65536</definedName>
    <definedName name="mavuviec" localSheetId="37">'[1]Luong VV'!$A$7:$A$65536</definedName>
    <definedName name="mavuviec">'Luong VV'!$A$6:$A$65536</definedName>
    <definedName name="ngay" localSheetId="38">[2]Heso!$B$12</definedName>
    <definedName name="ngay" localSheetId="37">[1]donvi!$B$1</definedName>
    <definedName name="ngay">donvi!$B$1</definedName>
    <definedName name="nhanvien" localSheetId="38">[1]nhanvien!$A$3:$IV$65536</definedName>
    <definedName name="nhanvien" localSheetId="37">[1]nhanvien!$A$3:$IV$65536</definedName>
    <definedName name="nhanvien">nhanvien!$3:$65536</definedName>
    <definedName name="pc1165070100" localSheetId="38">'[1]PC116-50-70-100'!$A$3:$IV$65536</definedName>
    <definedName name="pc1165070100" localSheetId="37">'[1]PC116-50-70-100'!$A$3:$IV$65536</definedName>
    <definedName name="pc1165070100">'PC116-50-70-100'!$3:$65536</definedName>
    <definedName name="phukienhopdong" localSheetId="38">[1]phukienhopdong!$A$3:$IV$65536</definedName>
    <definedName name="phukienhopdong" localSheetId="37">[1]phukienhopdong!$A$3:$IV$65536</definedName>
    <definedName name="phukienhopdong">phukienhopdong!$3:$65536</definedName>
    <definedName name="_xlnm.Print_Area" localSheetId="37">'MẪU C13-TT LUONG'!$A$1:$J$59</definedName>
    <definedName name="_xlnm.Print_Area" localSheetId="0">nhanvien!$A$1:$AN$48</definedName>
    <definedName name="_xlnm.Print_Area" localSheetId="6">'Tro cap 116'!$A$55:$L$85</definedName>
    <definedName name="_xlnm.Print_Titles" localSheetId="34">'Nhân sự'!$3:$3</definedName>
    <definedName name="sothang" localSheetId="38">[1]heso!$B$9</definedName>
    <definedName name="sothang" localSheetId="37">[1]heso!$B$9</definedName>
    <definedName name="sothang">heso!$B$9</definedName>
    <definedName name="Tendonvi_1">[3]Thamchieu!$C$5</definedName>
    <definedName name="thamniennghe" localSheetId="38">[1]thamniennghe!$A$3:$IV$65536</definedName>
    <definedName name="thamniennghe" localSheetId="37">[1]thamniennghe!$A$3:$IV$65536</definedName>
    <definedName name="thamniennghe">thamniennghe!$3:$65536</definedName>
    <definedName name="thang" localSheetId="38">[2]Heso!$B$13</definedName>
    <definedName name="thang" localSheetId="37">[1]donvi!$B$2</definedName>
    <definedName name="thang">donvi!$B$2</definedName>
    <definedName name="thuclinh" localSheetId="38">[1]TH_LUONG!$S$53</definedName>
    <definedName name="thuclinh" localSheetId="37">[1]TH_LUONG!$S$53</definedName>
    <definedName name="thuclinh">TH_LUONG!$S$45</definedName>
    <definedName name="thuclinh_bc" localSheetId="38">[1]Luong_BC!$R$43</definedName>
    <definedName name="thuclinh_bc" localSheetId="37">[1]Luong_BC!$R$43</definedName>
    <definedName name="thuclinh_bc">Luong_BC!$R$40</definedName>
    <definedName name="thuclinh_dh" localSheetId="38">[1]Luong_DH!$R$9</definedName>
    <definedName name="thuclinh_dh" localSheetId="37">[1]Luong_DH!$R$9</definedName>
    <definedName name="thuclinh_dh">Luong_DH!$R$9</definedName>
    <definedName name="thuclinh_mt" localSheetId="38">'[1]Tro cap 116'!$K$42</definedName>
    <definedName name="thuclinh_mt" localSheetId="37">'[1]Tro cap 116'!$K$42</definedName>
    <definedName name="thuclinh_mt">'Tro cap 116'!$K$42</definedName>
    <definedName name="thuclinh_vv" localSheetId="38">'[1]Luong VV'!$Q$27</definedName>
    <definedName name="thuclinh_vv" localSheetId="2">'Luong HĐ 68'!$Q$10</definedName>
    <definedName name="thuclinh_vv" localSheetId="37">'[1]Luong VV'!$Q$27</definedName>
    <definedName name="thuclinh_vv">'Luong VV'!$Q$13</definedName>
    <definedName name="Tieude_1">[3]Thamchieu!$C$7</definedName>
    <definedName name="Tieude_2">[3]Thamchieu!$C$8</definedName>
    <definedName name="trachnhiem" localSheetId="38">[1]trachnhiem!$A$3:$IV$65536</definedName>
    <definedName name="trachnhiem" localSheetId="37">[1]trachnhiem!$A$3:$IV$65536</definedName>
    <definedName name="trachnhiem">trachnhiem!$3:$65536</definedName>
    <definedName name="uudainghe" localSheetId="38">[1]uudainghe!$A$3:$IV$65536</definedName>
    <definedName name="uudainghe" localSheetId="37">[1]uudainghe!$A$3:$IV$65536</definedName>
    <definedName name="uudainghe">uudainghe!$3:$65536</definedName>
    <definedName name="vuotkhung" localSheetId="38">[1]vuotkhung!$A$3:$IV$65536</definedName>
    <definedName name="vuotkhung" localSheetId="37">[1]vuotkhung!$A$3:$IV$65536</definedName>
    <definedName name="vuotkhung">vuotkhung!$3:$65536</definedName>
  </definedNames>
  <calcPr calcId="162913"/>
</workbook>
</file>

<file path=xl/calcChain.xml><?xml version="1.0" encoding="utf-8"?>
<calcChain xmlns="http://schemas.openxmlformats.org/spreadsheetml/2006/main">
  <c r="J10" i="51" l="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36" i="51"/>
  <c r="J37" i="51"/>
  <c r="J38" i="51"/>
  <c r="J39" i="51"/>
  <c r="J40" i="51"/>
  <c r="J41" i="51"/>
  <c r="J42" i="51"/>
  <c r="I45" i="51"/>
  <c r="D37" i="1"/>
  <c r="L38" i="51"/>
  <c r="F43" i="51"/>
  <c r="J43" i="51" s="1"/>
  <c r="AC45" i="1"/>
  <c r="K4" i="51"/>
  <c r="G45" i="51"/>
  <c r="H9" i="51"/>
  <c r="E44" i="51"/>
  <c r="E45" i="51"/>
  <c r="F45" i="51"/>
  <c r="F48" i="51"/>
  <c r="N30" i="51"/>
  <c r="M30" i="51"/>
  <c r="L30" i="51" s="1"/>
  <c r="L31" i="51"/>
  <c r="L20" i="51"/>
  <c r="L21" i="51"/>
  <c r="M18" i="53"/>
  <c r="D18" i="53"/>
  <c r="M12" i="53"/>
  <c r="B11" i="53"/>
  <c r="R9" i="53"/>
  <c r="E9" i="53"/>
  <c r="B9" i="53"/>
  <c r="R8" i="53"/>
  <c r="E8" i="53"/>
  <c r="B8" i="53"/>
  <c r="R7" i="53"/>
  <c r="E7" i="53"/>
  <c r="B7" i="53"/>
  <c r="A4" i="53"/>
  <c r="R9" i="4"/>
  <c r="S68" i="16" s="1"/>
  <c r="N9" i="4"/>
  <c r="J9" i="4"/>
  <c r="F9" i="4"/>
  <c r="B32" i="16"/>
  <c r="C32" i="16"/>
  <c r="B35" i="16"/>
  <c r="C35" i="16"/>
  <c r="B36" i="16"/>
  <c r="C36" i="16"/>
  <c r="B37" i="16"/>
  <c r="C37" i="16"/>
  <c r="B38" i="16"/>
  <c r="C38" i="16"/>
  <c r="B34" i="16"/>
  <c r="C34" i="16"/>
  <c r="C33" i="16"/>
  <c r="R12" i="7"/>
  <c r="E12" i="7"/>
  <c r="B12" i="7"/>
  <c r="R11" i="7"/>
  <c r="E11" i="7"/>
  <c r="B11" i="7"/>
  <c r="R10" i="7"/>
  <c r="E10" i="7"/>
  <c r="B10" i="7"/>
  <c r="R9" i="7"/>
  <c r="E9" i="7"/>
  <c r="B9" i="7"/>
  <c r="C29" i="16"/>
  <c r="B29" i="16"/>
  <c r="S37" i="5"/>
  <c r="E37" i="5"/>
  <c r="B37" i="5"/>
  <c r="E7" i="5"/>
  <c r="C41" i="16"/>
  <c r="B41" i="16"/>
  <c r="S24" i="5"/>
  <c r="E24" i="5"/>
  <c r="B24" i="5"/>
  <c r="A4" i="49"/>
  <c r="E10" i="49"/>
  <c r="C19" i="49"/>
  <c r="D10" i="52"/>
  <c r="D11" i="52"/>
  <c r="D12" i="52"/>
  <c r="D13" i="52"/>
  <c r="D14" i="52"/>
  <c r="D15" i="52"/>
  <c r="E8" i="52"/>
  <c r="F8" i="52"/>
  <c r="G8" i="52"/>
  <c r="H8" i="52"/>
  <c r="I8" i="52"/>
  <c r="J8" i="52"/>
  <c r="K8" i="52"/>
  <c r="L8" i="52"/>
  <c r="M8" i="52"/>
  <c r="N8" i="52"/>
  <c r="O8" i="52"/>
  <c r="P8" i="52"/>
  <c r="D8" i="52"/>
  <c r="B26" i="52"/>
  <c r="C18" i="52"/>
  <c r="B17" i="52"/>
  <c r="O15" i="52"/>
  <c r="N15" i="52"/>
  <c r="O14" i="52"/>
  <c r="N14" i="52"/>
  <c r="O13" i="52"/>
  <c r="N13" i="52"/>
  <c r="O12" i="52"/>
  <c r="N12" i="52"/>
  <c r="O11" i="52"/>
  <c r="N11" i="52"/>
  <c r="O10" i="52"/>
  <c r="N10" i="52"/>
  <c r="O9" i="52"/>
  <c r="N9" i="52"/>
  <c r="C7" i="52"/>
  <c r="A4" i="52"/>
  <c r="E13" i="29"/>
  <c r="O51" i="29"/>
  <c r="P51" i="29"/>
  <c r="Q51" i="29" s="1"/>
  <c r="O50" i="29"/>
  <c r="P50" i="29"/>
  <c r="E33" i="29"/>
  <c r="B33" i="29"/>
  <c r="E25" i="29"/>
  <c r="B25" i="29"/>
  <c r="E42" i="29"/>
  <c r="B42" i="29"/>
  <c r="P49" i="29"/>
  <c r="O49" i="29"/>
  <c r="Q49" i="29" s="1"/>
  <c r="P48" i="29"/>
  <c r="O48" i="29"/>
  <c r="E21" i="29"/>
  <c r="B21" i="29"/>
  <c r="E20" i="29"/>
  <c r="B20" i="29"/>
  <c r="E40" i="29"/>
  <c r="B40" i="29"/>
  <c r="A5" i="50"/>
  <c r="B13" i="50" s="1"/>
  <c r="B14" i="50" s="1"/>
  <c r="B15" i="50" s="1"/>
  <c r="G19" i="50"/>
  <c r="K9" i="51"/>
  <c r="M9" i="51"/>
  <c r="L9" i="51"/>
  <c r="N10" i="51"/>
  <c r="L10" i="51" s="1"/>
  <c r="L11" i="51"/>
  <c r="L12" i="51"/>
  <c r="L13" i="51"/>
  <c r="L14" i="51"/>
  <c r="L15" i="51"/>
  <c r="L16" i="51"/>
  <c r="L17" i="51"/>
  <c r="L18" i="51"/>
  <c r="L19" i="51"/>
  <c r="L22" i="51"/>
  <c r="L23" i="51"/>
  <c r="L24" i="51"/>
  <c r="L25" i="51"/>
  <c r="L26" i="51"/>
  <c r="L27" i="51"/>
  <c r="L28" i="51"/>
  <c r="L29" i="51"/>
  <c r="L32" i="51"/>
  <c r="L33" i="51"/>
  <c r="L35" i="51"/>
  <c r="L36" i="51"/>
  <c r="L37" i="51"/>
  <c r="L39" i="51"/>
  <c r="L40" i="51"/>
  <c r="L41" i="51"/>
  <c r="L42" i="51"/>
  <c r="L43" i="51"/>
  <c r="O44" i="51"/>
  <c r="P44" i="51"/>
  <c r="Q44" i="51"/>
  <c r="Q45" i="51"/>
  <c r="R44" i="51"/>
  <c r="S44" i="51"/>
  <c r="T44" i="51"/>
  <c r="U44" i="51"/>
  <c r="U45" i="51" s="1"/>
  <c r="V44" i="51"/>
  <c r="W44" i="51"/>
  <c r="W45" i="51" s="1"/>
  <c r="X44" i="51"/>
  <c r="X45" i="51" s="1"/>
  <c r="Y44" i="51"/>
  <c r="Z44" i="51"/>
  <c r="Z45" i="51" s="1"/>
  <c r="AA44" i="51"/>
  <c r="AA45" i="51" s="1"/>
  <c r="AB44" i="51"/>
  <c r="AB45" i="51" s="1"/>
  <c r="AC44" i="51"/>
  <c r="AD44" i="51"/>
  <c r="AE44" i="51"/>
  <c r="AF44" i="51"/>
  <c r="AG44" i="51"/>
  <c r="AH44" i="51"/>
  <c r="AI44" i="51"/>
  <c r="AJ44" i="51"/>
  <c r="AK44" i="51"/>
  <c r="AL44" i="51"/>
  <c r="AM44" i="51"/>
  <c r="AN44" i="51"/>
  <c r="AO44" i="51"/>
  <c r="AP44" i="51"/>
  <c r="AQ44" i="51"/>
  <c r="AR44" i="51"/>
  <c r="AS44" i="51"/>
  <c r="AT44" i="51"/>
  <c r="AU44" i="51"/>
  <c r="AV44" i="51"/>
  <c r="AW44" i="51"/>
  <c r="AX44" i="51"/>
  <c r="AY44" i="51"/>
  <c r="AY45" i="51" s="1"/>
  <c r="AZ44" i="51"/>
  <c r="BA44" i="51"/>
  <c r="BB44" i="51"/>
  <c r="BC44" i="51"/>
  <c r="BD44" i="51"/>
  <c r="BE44" i="51"/>
  <c r="BF44" i="51"/>
  <c r="BG44" i="51"/>
  <c r="BH44" i="51"/>
  <c r="BI44" i="51"/>
  <c r="BJ44" i="51"/>
  <c r="BK44" i="51"/>
  <c r="BL44" i="51"/>
  <c r="BM44" i="51"/>
  <c r="BM45" i="51" s="1"/>
  <c r="BN44" i="51"/>
  <c r="BO44" i="51"/>
  <c r="BP44" i="51"/>
  <c r="BQ44" i="51"/>
  <c r="BR44" i="51"/>
  <c r="BS44" i="51"/>
  <c r="BT44" i="51"/>
  <c r="BU44" i="51"/>
  <c r="BV44" i="51"/>
  <c r="BW44" i="51"/>
  <c r="BX44" i="51"/>
  <c r="BX45" i="51" s="1"/>
  <c r="BY44" i="51"/>
  <c r="BZ44" i="51"/>
  <c r="CA44" i="51"/>
  <c r="CB44" i="51"/>
  <c r="CC44" i="51"/>
  <c r="CD44" i="51"/>
  <c r="CE44" i="51"/>
  <c r="CF44" i="51"/>
  <c r="CG44" i="51"/>
  <c r="CH44" i="51"/>
  <c r="CI44" i="51"/>
  <c r="CJ44" i="51"/>
  <c r="CK44" i="51"/>
  <c r="L48" i="51"/>
  <c r="M48" i="51"/>
  <c r="O48" i="51"/>
  <c r="P48" i="51"/>
  <c r="Q48" i="51"/>
  <c r="S48" i="51"/>
  <c r="T48" i="51"/>
  <c r="U48" i="51"/>
  <c r="V48" i="51"/>
  <c r="W48" i="51"/>
  <c r="X48" i="51"/>
  <c r="Y48" i="51"/>
  <c r="Y45" i="51" s="1"/>
  <c r="AA48" i="51"/>
  <c r="AB48" i="51"/>
  <c r="AC48" i="51"/>
  <c r="AD48" i="51"/>
  <c r="AE48" i="51"/>
  <c r="AF48" i="51"/>
  <c r="AG48" i="51"/>
  <c r="AG45" i="51"/>
  <c r="AH48" i="51"/>
  <c r="AI48" i="51"/>
  <c r="AJ48" i="51"/>
  <c r="AK48" i="51"/>
  <c r="AL48" i="51"/>
  <c r="AM48" i="51"/>
  <c r="AN48" i="51"/>
  <c r="AO48" i="51"/>
  <c r="AP48" i="51"/>
  <c r="AQ48" i="51"/>
  <c r="AR48" i="51"/>
  <c r="AS48" i="51"/>
  <c r="AS45" i="51" s="1"/>
  <c r="AT48" i="51"/>
  <c r="AU48" i="51"/>
  <c r="AV48" i="51"/>
  <c r="AW48" i="51"/>
  <c r="AX48" i="51"/>
  <c r="AY48" i="51"/>
  <c r="AZ48" i="51"/>
  <c r="BA48" i="51"/>
  <c r="BB48" i="51"/>
  <c r="BC48" i="51"/>
  <c r="BD48" i="51"/>
  <c r="BE48" i="51"/>
  <c r="BF48" i="51"/>
  <c r="BG48" i="51"/>
  <c r="BH48" i="51"/>
  <c r="BI48" i="51"/>
  <c r="BJ48" i="51"/>
  <c r="BK48" i="51"/>
  <c r="BL48" i="51"/>
  <c r="BM48" i="51"/>
  <c r="BN48" i="51"/>
  <c r="BO48" i="51"/>
  <c r="BP48" i="51"/>
  <c r="BQ48" i="51"/>
  <c r="BR48" i="51"/>
  <c r="BS48" i="51"/>
  <c r="BT48" i="51"/>
  <c r="BU48" i="51"/>
  <c r="BV48" i="51"/>
  <c r="BW48" i="51"/>
  <c r="BX48" i="51"/>
  <c r="BY48" i="51"/>
  <c r="BZ48" i="51"/>
  <c r="CA48" i="51"/>
  <c r="CA45" i="51" s="1"/>
  <c r="CB48" i="51"/>
  <c r="CC48" i="51"/>
  <c r="CD48" i="51"/>
  <c r="CE48" i="51"/>
  <c r="CF48" i="51"/>
  <c r="CG48" i="51"/>
  <c r="CH48" i="51"/>
  <c r="CI48" i="51"/>
  <c r="CI45" i="51" s="1"/>
  <c r="CJ48" i="51"/>
  <c r="CJ45" i="51"/>
  <c r="CK48" i="51"/>
  <c r="N49" i="51"/>
  <c r="N48" i="51"/>
  <c r="Z52" i="51"/>
  <c r="D27" i="50"/>
  <c r="A27" i="50"/>
  <c r="I16" i="50"/>
  <c r="S33" i="5"/>
  <c r="E33" i="5"/>
  <c r="B33" i="5"/>
  <c r="S22" i="5"/>
  <c r="E22" i="5"/>
  <c r="B22" i="5"/>
  <c r="S53" i="16"/>
  <c r="B6" i="49"/>
  <c r="N17" i="1"/>
  <c r="F16" i="16" s="1"/>
  <c r="C44" i="16"/>
  <c r="B44" i="16"/>
  <c r="C25" i="16"/>
  <c r="B25" i="16"/>
  <c r="C42" i="16"/>
  <c r="B42" i="16"/>
  <c r="L39" i="28"/>
  <c r="C39" i="28"/>
  <c r="B39" i="28"/>
  <c r="L33" i="28"/>
  <c r="C33" i="28"/>
  <c r="B33" i="28"/>
  <c r="L32" i="28"/>
  <c r="C32" i="28"/>
  <c r="B32" i="28"/>
  <c r="B39" i="5"/>
  <c r="E39" i="5"/>
  <c r="S39" i="5"/>
  <c r="S32" i="5"/>
  <c r="E32" i="5"/>
  <c r="B32" i="5"/>
  <c r="AL27" i="1"/>
  <c r="M25" i="16" s="1"/>
  <c r="AK27" i="1"/>
  <c r="AH27" i="1"/>
  <c r="AE27" i="1"/>
  <c r="AC27" i="1"/>
  <c r="R25" i="16" s="1"/>
  <c r="AB27" i="1"/>
  <c r="Z27" i="1"/>
  <c r="Y27" i="1"/>
  <c r="V27" i="1"/>
  <c r="T27" i="1"/>
  <c r="H25" i="16" s="1"/>
  <c r="S27" i="1"/>
  <c r="P27" i="1"/>
  <c r="N27" i="1"/>
  <c r="F25" i="16" s="1"/>
  <c r="M27" i="1"/>
  <c r="K27" i="1"/>
  <c r="J27" i="1"/>
  <c r="H27" i="1"/>
  <c r="D33" i="28" s="1"/>
  <c r="G27" i="1"/>
  <c r="C35" i="29" s="1"/>
  <c r="D27" i="1"/>
  <c r="AL26" i="1"/>
  <c r="H32" i="28" s="1"/>
  <c r="AK26" i="1"/>
  <c r="AH26" i="1"/>
  <c r="AE26" i="1"/>
  <c r="AC26" i="1"/>
  <c r="R24" i="16" s="1"/>
  <c r="AB26" i="1"/>
  <c r="Z26" i="1"/>
  <c r="J24" i="16" s="1"/>
  <c r="Y26" i="1"/>
  <c r="V26" i="1"/>
  <c r="T26" i="1"/>
  <c r="S26" i="1"/>
  <c r="P26" i="1"/>
  <c r="N26" i="1"/>
  <c r="F24" i="16" s="1"/>
  <c r="M26" i="1"/>
  <c r="K26" i="1"/>
  <c r="J26" i="1"/>
  <c r="H26" i="1"/>
  <c r="G26" i="1"/>
  <c r="D26" i="1"/>
  <c r="AL13" i="1"/>
  <c r="M13" i="16" s="1"/>
  <c r="AK13" i="1"/>
  <c r="AH13" i="1"/>
  <c r="AE13" i="1"/>
  <c r="AC13" i="1"/>
  <c r="R13" i="16" s="1"/>
  <c r="AB13" i="1"/>
  <c r="Z13" i="1"/>
  <c r="J13" i="16" s="1"/>
  <c r="Y13" i="1"/>
  <c r="V13" i="1"/>
  <c r="T13" i="1"/>
  <c r="H13" i="16" s="1"/>
  <c r="S13" i="1"/>
  <c r="P13" i="1"/>
  <c r="N13" i="1"/>
  <c r="F13" i="16" s="1"/>
  <c r="M13" i="1"/>
  <c r="K13" i="1"/>
  <c r="J13" i="1"/>
  <c r="H13" i="1"/>
  <c r="D18" i="28" s="1"/>
  <c r="G13" i="1"/>
  <c r="C19" i="5" s="1"/>
  <c r="D13" i="1"/>
  <c r="D19" i="5" s="1"/>
  <c r="AL15" i="1"/>
  <c r="AK15" i="1"/>
  <c r="AH15" i="1"/>
  <c r="AE15" i="1"/>
  <c r="AC15" i="1"/>
  <c r="R15" i="16" s="1"/>
  <c r="AB15" i="1"/>
  <c r="Z15" i="1"/>
  <c r="Y15" i="1"/>
  <c r="V15" i="1"/>
  <c r="T15" i="1"/>
  <c r="H15" i="16" s="1"/>
  <c r="S15" i="1"/>
  <c r="P15" i="1"/>
  <c r="N15" i="1"/>
  <c r="F15" i="16" s="1"/>
  <c r="M15" i="1"/>
  <c r="K15" i="1"/>
  <c r="J15" i="1"/>
  <c r="H15" i="1"/>
  <c r="G15" i="1"/>
  <c r="C22" i="5" s="1"/>
  <c r="D15" i="1"/>
  <c r="D22" i="5" s="1"/>
  <c r="AL14" i="1"/>
  <c r="M14" i="16" s="1"/>
  <c r="AK14" i="1"/>
  <c r="AH14" i="1"/>
  <c r="AE14" i="1"/>
  <c r="AC14" i="1"/>
  <c r="R14" i="16" s="1"/>
  <c r="AB14" i="1"/>
  <c r="Z14" i="1"/>
  <c r="J14" i="16" s="1"/>
  <c r="Y14" i="1"/>
  <c r="V14" i="1"/>
  <c r="T14" i="1"/>
  <c r="S14" i="1"/>
  <c r="P14" i="1"/>
  <c r="N14" i="1"/>
  <c r="F14" i="16" s="1"/>
  <c r="M14" i="1"/>
  <c r="K14" i="1"/>
  <c r="J14" i="1"/>
  <c r="H14" i="1"/>
  <c r="G14" i="1"/>
  <c r="C21" i="5" s="1"/>
  <c r="D14" i="1"/>
  <c r="AL30" i="1"/>
  <c r="M28" i="16" s="1"/>
  <c r="AK30" i="1"/>
  <c r="AH30" i="1"/>
  <c r="AE30" i="1"/>
  <c r="AC30" i="1"/>
  <c r="AB30" i="1"/>
  <c r="Z30" i="1"/>
  <c r="J28" i="16" s="1"/>
  <c r="Y30" i="1"/>
  <c r="V30" i="1"/>
  <c r="T30" i="1"/>
  <c r="H28" i="16" s="1"/>
  <c r="S30" i="1"/>
  <c r="P30" i="1"/>
  <c r="N30" i="1"/>
  <c r="F28" i="16" s="1"/>
  <c r="M30" i="1"/>
  <c r="K30" i="1"/>
  <c r="J30" i="1"/>
  <c r="H30" i="1"/>
  <c r="G30" i="1"/>
  <c r="C39" i="29"/>
  <c r="D30" i="1"/>
  <c r="C15" i="16"/>
  <c r="AL45" i="1"/>
  <c r="M43" i="16"/>
  <c r="K35" i="1"/>
  <c r="H8" i="28"/>
  <c r="K28" i="1"/>
  <c r="B15" i="16"/>
  <c r="K46" i="1"/>
  <c r="K47" i="1"/>
  <c r="AL4" i="1"/>
  <c r="AL5" i="1"/>
  <c r="H10" i="28" s="1"/>
  <c r="AL6" i="1"/>
  <c r="AL7" i="1"/>
  <c r="AL8" i="1"/>
  <c r="M8" i="16" s="1"/>
  <c r="AL9" i="1"/>
  <c r="M9" i="16" s="1"/>
  <c r="AL10" i="1"/>
  <c r="AL11" i="1"/>
  <c r="M11" i="16" s="1"/>
  <c r="AL12" i="1"/>
  <c r="M12" i="16" s="1"/>
  <c r="AL17" i="1"/>
  <c r="AL18" i="1"/>
  <c r="AL19" i="1"/>
  <c r="AL20" i="1"/>
  <c r="AL21" i="1"/>
  <c r="H27" i="28" s="1"/>
  <c r="AL22" i="1"/>
  <c r="H28" i="28" s="1"/>
  <c r="AL23" i="1"/>
  <c r="M21" i="16" s="1"/>
  <c r="AL24" i="1"/>
  <c r="AL25" i="1"/>
  <c r="AL28" i="1"/>
  <c r="AL29" i="1"/>
  <c r="AL31" i="1"/>
  <c r="AL32" i="1"/>
  <c r="AL40" i="1"/>
  <c r="AL41" i="1"/>
  <c r="AL42" i="1"/>
  <c r="M40" i="16" s="1"/>
  <c r="AL43" i="1"/>
  <c r="AL44" i="1"/>
  <c r="M42" i="16" s="1"/>
  <c r="AL48" i="1"/>
  <c r="AL33" i="1"/>
  <c r="AL34" i="1"/>
  <c r="M31" i="16" s="1"/>
  <c r="M33" i="16"/>
  <c r="AL35" i="1"/>
  <c r="AL36" i="1"/>
  <c r="H68" i="28" s="1"/>
  <c r="AL37" i="1"/>
  <c r="H69" i="28" s="1"/>
  <c r="AL38" i="1"/>
  <c r="AL39" i="1"/>
  <c r="AL46" i="1"/>
  <c r="AL47" i="1"/>
  <c r="H64" i="28" s="1"/>
  <c r="E27" i="5"/>
  <c r="C27" i="16"/>
  <c r="C40" i="16"/>
  <c r="E8" i="5"/>
  <c r="E9" i="5"/>
  <c r="E11" i="5"/>
  <c r="E12" i="5"/>
  <c r="E13" i="5"/>
  <c r="E15" i="5"/>
  <c r="E16" i="5"/>
  <c r="E17" i="5"/>
  <c r="E18" i="5"/>
  <c r="E19" i="5"/>
  <c r="E21" i="5"/>
  <c r="E25" i="5"/>
  <c r="E26" i="5"/>
  <c r="E28" i="5"/>
  <c r="E29" i="5"/>
  <c r="E30" i="5"/>
  <c r="E31" i="5"/>
  <c r="E35" i="5"/>
  <c r="E36" i="5"/>
  <c r="E38" i="5"/>
  <c r="E7" i="7"/>
  <c r="C23" i="28"/>
  <c r="C24" i="28"/>
  <c r="C25" i="28"/>
  <c r="C26" i="28"/>
  <c r="C27" i="28"/>
  <c r="C28" i="28"/>
  <c r="C29" i="28"/>
  <c r="C30" i="28"/>
  <c r="C31" i="28"/>
  <c r="C34" i="28"/>
  <c r="C35" i="28"/>
  <c r="B35" i="28"/>
  <c r="L35" i="28"/>
  <c r="B40" i="16"/>
  <c r="B27" i="16"/>
  <c r="H3" i="1"/>
  <c r="H4" i="1"/>
  <c r="H5" i="1"/>
  <c r="F10" i="29" s="1"/>
  <c r="K3" i="1"/>
  <c r="K4" i="1"/>
  <c r="G8" i="5" s="1"/>
  <c r="K5" i="1"/>
  <c r="N3" i="1"/>
  <c r="F3" i="16" s="1"/>
  <c r="N4" i="1"/>
  <c r="F4" i="16" s="1"/>
  <c r="N5" i="1"/>
  <c r="F5" i="16"/>
  <c r="T3" i="1"/>
  <c r="H3" i="16" s="1"/>
  <c r="T4" i="1"/>
  <c r="H4" i="16"/>
  <c r="T5" i="1"/>
  <c r="J9" i="5" s="1"/>
  <c r="Z3" i="1"/>
  <c r="J3" i="16" s="1"/>
  <c r="Z4" i="1"/>
  <c r="Z5" i="1"/>
  <c r="J5" i="16" s="1"/>
  <c r="G3" i="1"/>
  <c r="D3" i="1"/>
  <c r="G4" i="1"/>
  <c r="C8" i="5" s="1"/>
  <c r="D4" i="1"/>
  <c r="G5" i="1"/>
  <c r="C10" i="29" s="1"/>
  <c r="D5" i="1"/>
  <c r="H6" i="1"/>
  <c r="H7" i="1"/>
  <c r="H8" i="1"/>
  <c r="F14" i="29" s="1"/>
  <c r="K6" i="1"/>
  <c r="K7" i="1"/>
  <c r="K8" i="1"/>
  <c r="N6" i="1"/>
  <c r="F6" i="16" s="1"/>
  <c r="N7" i="1"/>
  <c r="F7" i="16" s="1"/>
  <c r="N8" i="1"/>
  <c r="F8" i="16" s="1"/>
  <c r="T6" i="1"/>
  <c r="H6" i="16" s="1"/>
  <c r="T7" i="1"/>
  <c r="H7" i="16" s="1"/>
  <c r="T8" i="1"/>
  <c r="H8" i="16" s="1"/>
  <c r="Z6" i="1"/>
  <c r="J6" i="16"/>
  <c r="Z7" i="1"/>
  <c r="J7" i="16" s="1"/>
  <c r="Z8" i="1"/>
  <c r="J8" i="16" s="1"/>
  <c r="G6" i="1"/>
  <c r="D6" i="1"/>
  <c r="G7" i="1"/>
  <c r="C13" i="29" s="1"/>
  <c r="D7" i="1"/>
  <c r="G8" i="1"/>
  <c r="C14" i="29" s="1"/>
  <c r="D8" i="1"/>
  <c r="D13" i="5" s="1"/>
  <c r="H9" i="1"/>
  <c r="H10" i="1"/>
  <c r="H11" i="1"/>
  <c r="H12" i="1"/>
  <c r="K9" i="1"/>
  <c r="K10" i="1"/>
  <c r="G16" i="5" s="1"/>
  <c r="K11" i="1"/>
  <c r="E11" i="16" s="1"/>
  <c r="K12" i="1"/>
  <c r="N9" i="1"/>
  <c r="H9" i="53" s="1"/>
  <c r="N10" i="1"/>
  <c r="F10" i="16" s="1"/>
  <c r="N11" i="1"/>
  <c r="H11" i="5" s="1"/>
  <c r="N12" i="1"/>
  <c r="T9" i="1"/>
  <c r="J15" i="5" s="1"/>
  <c r="H9" i="16"/>
  <c r="T10" i="1"/>
  <c r="H10" i="16" s="1"/>
  <c r="T11" i="1"/>
  <c r="H11" i="16" s="1"/>
  <c r="T12" i="1"/>
  <c r="H12" i="16" s="1"/>
  <c r="Z9" i="1"/>
  <c r="L15" i="5" s="1"/>
  <c r="Z10" i="1"/>
  <c r="J10" i="16" s="1"/>
  <c r="Z11" i="1"/>
  <c r="J11" i="16" s="1"/>
  <c r="Z12" i="1"/>
  <c r="J12" i="16" s="1"/>
  <c r="G9" i="1"/>
  <c r="D9" i="1"/>
  <c r="D16" i="29" s="1"/>
  <c r="G10" i="1"/>
  <c r="D10" i="1"/>
  <c r="D17" i="29" s="1"/>
  <c r="G11" i="1"/>
  <c r="C18" i="29" s="1"/>
  <c r="D11" i="1"/>
  <c r="G12" i="1"/>
  <c r="D12" i="1"/>
  <c r="C24" i="29"/>
  <c r="D24" i="29"/>
  <c r="H17" i="1"/>
  <c r="H18" i="1"/>
  <c r="H19" i="1"/>
  <c r="D25" i="28"/>
  <c r="H20" i="1"/>
  <c r="H21" i="1"/>
  <c r="H22" i="1"/>
  <c r="H23" i="1"/>
  <c r="H24" i="1"/>
  <c r="D22" i="16" s="1"/>
  <c r="H25" i="1"/>
  <c r="K17" i="1"/>
  <c r="K18" i="1"/>
  <c r="K19" i="1"/>
  <c r="K20" i="1"/>
  <c r="K21" i="1"/>
  <c r="G31" i="29" s="1"/>
  <c r="K22" i="1"/>
  <c r="E28" i="28" s="1"/>
  <c r="K23" i="1"/>
  <c r="G29" i="5" s="1"/>
  <c r="K24" i="1"/>
  <c r="K25" i="1"/>
  <c r="N18" i="1"/>
  <c r="F17" i="16" s="1"/>
  <c r="N19" i="1"/>
  <c r="N20" i="1"/>
  <c r="F19" i="16" s="1"/>
  <c r="N21" i="1"/>
  <c r="F20" i="16" s="1"/>
  <c r="N22" i="1"/>
  <c r="N23" i="1"/>
  <c r="F21" i="16" s="1"/>
  <c r="N24" i="1"/>
  <c r="N25" i="1"/>
  <c r="F23" i="16" s="1"/>
  <c r="T17" i="1"/>
  <c r="H16" i="16" s="1"/>
  <c r="T18" i="1"/>
  <c r="H17" i="16" s="1"/>
  <c r="T19" i="1"/>
  <c r="H18" i="16" s="1"/>
  <c r="T20" i="1"/>
  <c r="H19" i="16" s="1"/>
  <c r="T21" i="1"/>
  <c r="H20" i="16" s="1"/>
  <c r="T22" i="1"/>
  <c r="T23" i="1"/>
  <c r="H21" i="16" s="1"/>
  <c r="T24" i="1"/>
  <c r="H22" i="16" s="1"/>
  <c r="T25" i="1"/>
  <c r="H23" i="16" s="1"/>
  <c r="Z17" i="1"/>
  <c r="Z18" i="1"/>
  <c r="J17" i="16" s="1"/>
  <c r="Z19" i="1"/>
  <c r="J18" i="16" s="1"/>
  <c r="Z20" i="1"/>
  <c r="L27" i="5" s="1"/>
  <c r="Z21" i="1"/>
  <c r="Z22" i="1"/>
  <c r="Z23" i="1"/>
  <c r="Z24" i="1"/>
  <c r="J22" i="16" s="1"/>
  <c r="Z25" i="1"/>
  <c r="J23" i="16" s="1"/>
  <c r="G17" i="1"/>
  <c r="D17" i="1"/>
  <c r="D27" i="29" s="1"/>
  <c r="G18" i="1"/>
  <c r="C28" i="29" s="1"/>
  <c r="D18" i="1"/>
  <c r="G19" i="1"/>
  <c r="C29" i="29" s="1"/>
  <c r="D19" i="1"/>
  <c r="D26" i="5" s="1"/>
  <c r="G20" i="1"/>
  <c r="C27" i="5" s="1"/>
  <c r="D20" i="1"/>
  <c r="D30" i="29" s="1"/>
  <c r="G21" i="1"/>
  <c r="C28" i="5" s="1"/>
  <c r="D21" i="1"/>
  <c r="G22" i="1"/>
  <c r="C32" i="29" s="1"/>
  <c r="D22" i="1"/>
  <c r="D32" i="29" s="1"/>
  <c r="G23" i="1"/>
  <c r="C29" i="5" s="1"/>
  <c r="D23" i="1"/>
  <c r="D29" i="5" s="1"/>
  <c r="G24" i="1"/>
  <c r="C30" i="5" s="1"/>
  <c r="D24" i="1"/>
  <c r="D30" i="5" s="1"/>
  <c r="G25" i="1"/>
  <c r="C33" i="29" s="1"/>
  <c r="D25" i="1"/>
  <c r="H28" i="1"/>
  <c r="H29" i="1"/>
  <c r="D27" i="16" s="1"/>
  <c r="H31" i="1"/>
  <c r="K29" i="1"/>
  <c r="K31" i="1"/>
  <c r="N28" i="1"/>
  <c r="F26" i="16" s="1"/>
  <c r="N29" i="1"/>
  <c r="F27" i="16" s="1"/>
  <c r="N31" i="1"/>
  <c r="F29" i="16" s="1"/>
  <c r="T28" i="1"/>
  <c r="H26" i="16" s="1"/>
  <c r="T29" i="1"/>
  <c r="H27" i="16"/>
  <c r="T31" i="1"/>
  <c r="H29" i="16" s="1"/>
  <c r="Z28" i="1"/>
  <c r="J26" i="16" s="1"/>
  <c r="Z29" i="1"/>
  <c r="J27" i="16" s="1"/>
  <c r="Z31" i="1"/>
  <c r="J29" i="16" s="1"/>
  <c r="G28" i="1"/>
  <c r="D28" i="1"/>
  <c r="D36" i="29" s="1"/>
  <c r="G29" i="1"/>
  <c r="C38" i="29" s="1"/>
  <c r="D29" i="1"/>
  <c r="D36" i="5" s="1"/>
  <c r="G31" i="1"/>
  <c r="C38" i="5" s="1"/>
  <c r="D31" i="1"/>
  <c r="D38" i="5" s="1"/>
  <c r="G32" i="1"/>
  <c r="D32" i="1"/>
  <c r="D39" i="5" s="1"/>
  <c r="H32" i="1"/>
  <c r="K32" i="1"/>
  <c r="N32" i="1"/>
  <c r="F30" i="16" s="1"/>
  <c r="T32" i="1"/>
  <c r="H30" i="16" s="1"/>
  <c r="Z32" i="1"/>
  <c r="J30" i="16" s="1"/>
  <c r="N42" i="1"/>
  <c r="H38" i="5" s="1"/>
  <c r="H43" i="1"/>
  <c r="K43" i="1"/>
  <c r="N43" i="1"/>
  <c r="F41" i="16" s="1"/>
  <c r="T43" i="1"/>
  <c r="H41" i="16"/>
  <c r="Z43" i="1"/>
  <c r="J41" i="16" s="1"/>
  <c r="D43" i="1"/>
  <c r="D10" i="7" s="1"/>
  <c r="G43" i="1"/>
  <c r="C4" i="16"/>
  <c r="AC4" i="1"/>
  <c r="R4" i="16" s="1"/>
  <c r="C5" i="16"/>
  <c r="AC5" i="1"/>
  <c r="R5" i="16" s="1"/>
  <c r="C6" i="16"/>
  <c r="AC6" i="1"/>
  <c r="R6" i="16" s="1"/>
  <c r="C7" i="16"/>
  <c r="AC7" i="1"/>
  <c r="R7" i="16" s="1"/>
  <c r="C8" i="16"/>
  <c r="C9" i="16"/>
  <c r="AC8" i="1"/>
  <c r="R8" i="16" s="1"/>
  <c r="C10" i="16"/>
  <c r="C11" i="16"/>
  <c r="AC9" i="1"/>
  <c r="R9" i="16" s="1"/>
  <c r="C12" i="16"/>
  <c r="AC10" i="1"/>
  <c r="R10" i="16" s="1"/>
  <c r="C13" i="16"/>
  <c r="AC11" i="1"/>
  <c r="R11" i="16" s="1"/>
  <c r="C14" i="16"/>
  <c r="AC12" i="1"/>
  <c r="R12" i="16" s="1"/>
  <c r="AC17" i="1"/>
  <c r="R16" i="16" s="1"/>
  <c r="AC18" i="1"/>
  <c r="R17" i="16" s="1"/>
  <c r="C16" i="16"/>
  <c r="AC19" i="1"/>
  <c r="R18" i="16" s="1"/>
  <c r="C17" i="16"/>
  <c r="AC20" i="1"/>
  <c r="R19" i="16" s="1"/>
  <c r="C18" i="16"/>
  <c r="AC21" i="1"/>
  <c r="R20" i="16"/>
  <c r="C19" i="16"/>
  <c r="AC22" i="1"/>
  <c r="C20" i="16"/>
  <c r="AC23" i="1"/>
  <c r="R21" i="16" s="1"/>
  <c r="C21" i="16"/>
  <c r="AC24" i="1"/>
  <c r="R22" i="16"/>
  <c r="C22" i="16"/>
  <c r="AC25" i="1"/>
  <c r="R23" i="16" s="1"/>
  <c r="C23" i="16"/>
  <c r="AC28" i="1"/>
  <c r="R26" i="16" s="1"/>
  <c r="C24" i="16"/>
  <c r="AC29" i="1"/>
  <c r="R27" i="16" s="1"/>
  <c r="R28" i="16"/>
  <c r="C26" i="16"/>
  <c r="AC31" i="1"/>
  <c r="R29" i="16" s="1"/>
  <c r="C28" i="16"/>
  <c r="C30" i="16"/>
  <c r="H33" i="1"/>
  <c r="F41" i="29" s="1"/>
  <c r="K33" i="1"/>
  <c r="N33" i="1"/>
  <c r="T33" i="1"/>
  <c r="Z33" i="1"/>
  <c r="AC33" i="1"/>
  <c r="C31" i="16"/>
  <c r="H34" i="1"/>
  <c r="K34" i="1"/>
  <c r="E32" i="16" s="1"/>
  <c r="N34" i="1"/>
  <c r="T34" i="1"/>
  <c r="Z34" i="1"/>
  <c r="J31" i="16" s="1"/>
  <c r="AC34" i="1"/>
  <c r="R31" i="16" s="1"/>
  <c r="H35" i="1"/>
  <c r="N35" i="1"/>
  <c r="T35" i="1"/>
  <c r="Z35" i="1"/>
  <c r="AC35" i="1"/>
  <c r="H36" i="1"/>
  <c r="D68" i="28" s="1"/>
  <c r="K36" i="1"/>
  <c r="N36" i="1"/>
  <c r="T36" i="1"/>
  <c r="Z36" i="1"/>
  <c r="AC36" i="1"/>
  <c r="H37" i="1"/>
  <c r="K37" i="1"/>
  <c r="E69" i="28" s="1"/>
  <c r="N37" i="1"/>
  <c r="F34" i="16" s="1"/>
  <c r="T37" i="1"/>
  <c r="H34" i="16" s="1"/>
  <c r="Z37" i="1"/>
  <c r="J34" i="16" s="1"/>
  <c r="AC37" i="1"/>
  <c r="H38" i="1"/>
  <c r="K38" i="1"/>
  <c r="N38" i="1"/>
  <c r="F35" i="16" s="1"/>
  <c r="T38" i="1"/>
  <c r="H35" i="16" s="1"/>
  <c r="Z38" i="1"/>
  <c r="J35" i="16" s="1"/>
  <c r="AC38" i="1"/>
  <c r="H39" i="1"/>
  <c r="K39" i="1"/>
  <c r="N39" i="1"/>
  <c r="F36" i="16" s="1"/>
  <c r="T39" i="1"/>
  <c r="H36" i="16" s="1"/>
  <c r="Z39" i="1"/>
  <c r="J36" i="16" s="1"/>
  <c r="AC39" i="1"/>
  <c r="H40" i="1"/>
  <c r="K40" i="1"/>
  <c r="E72" i="28" s="1"/>
  <c r="N40" i="1"/>
  <c r="T40" i="1"/>
  <c r="H33" i="16"/>
  <c r="Z40" i="1"/>
  <c r="J33" i="16" s="1"/>
  <c r="AC40" i="1"/>
  <c r="R33" i="16" s="1"/>
  <c r="C39" i="16"/>
  <c r="H41" i="1"/>
  <c r="D73" i="28" s="1"/>
  <c r="K41" i="1"/>
  <c r="N41" i="1"/>
  <c r="T41" i="1"/>
  <c r="H37" i="16" s="1"/>
  <c r="Z41" i="1"/>
  <c r="L9" i="7" s="1"/>
  <c r="L8" i="7" s="1"/>
  <c r="AC41" i="1"/>
  <c r="R39" i="16" s="1"/>
  <c r="H42" i="1"/>
  <c r="K42" i="1"/>
  <c r="E40" i="16" s="1"/>
  <c r="T42" i="1"/>
  <c r="Z42" i="1"/>
  <c r="AC42" i="1"/>
  <c r="R40" i="16" s="1"/>
  <c r="H44" i="1"/>
  <c r="K44" i="1"/>
  <c r="N44" i="1"/>
  <c r="F42" i="16" s="1"/>
  <c r="T44" i="1"/>
  <c r="J11" i="7" s="1"/>
  <c r="Z44" i="1"/>
  <c r="AC44" i="1"/>
  <c r="R42" i="16" s="1"/>
  <c r="C43" i="16"/>
  <c r="H45" i="1"/>
  <c r="D43" i="16" s="1"/>
  <c r="K45" i="1"/>
  <c r="N45" i="1"/>
  <c r="F43" i="16" s="1"/>
  <c r="T45" i="1"/>
  <c r="H43" i="16"/>
  <c r="Z45" i="1"/>
  <c r="L12" i="7" s="1"/>
  <c r="H48" i="1"/>
  <c r="K48" i="1"/>
  <c r="N48" i="1"/>
  <c r="F44" i="16" s="1"/>
  <c r="T48" i="1"/>
  <c r="Z48" i="1"/>
  <c r="J44" i="16" s="1"/>
  <c r="R44" i="16"/>
  <c r="H46" i="1"/>
  <c r="N46" i="1"/>
  <c r="T46" i="1"/>
  <c r="Z46" i="1"/>
  <c r="AC46" i="1"/>
  <c r="H47" i="1"/>
  <c r="D64" i="28" s="1"/>
  <c r="F64" i="28" s="1"/>
  <c r="N47" i="1"/>
  <c r="T47" i="1"/>
  <c r="Z47" i="1"/>
  <c r="AC47" i="1"/>
  <c r="C3" i="16"/>
  <c r="M3" i="16"/>
  <c r="AC3" i="1"/>
  <c r="R3" i="16" s="1"/>
  <c r="B41" i="5"/>
  <c r="H16" i="1"/>
  <c r="K16" i="1"/>
  <c r="AL16" i="1"/>
  <c r="H21" i="28" s="1"/>
  <c r="L23" i="28"/>
  <c r="B23" i="28"/>
  <c r="B7" i="7"/>
  <c r="B14" i="7"/>
  <c r="B14" i="16"/>
  <c r="D48" i="1"/>
  <c r="G48" i="1"/>
  <c r="C6" i="49" s="1"/>
  <c r="S25" i="5"/>
  <c r="S26" i="5"/>
  <c r="S27" i="5"/>
  <c r="S28" i="5"/>
  <c r="S29" i="5"/>
  <c r="S30" i="5"/>
  <c r="S31" i="5"/>
  <c r="L76" i="28"/>
  <c r="C76" i="28"/>
  <c r="B76" i="28"/>
  <c r="D39" i="1"/>
  <c r="G39" i="1"/>
  <c r="L34" i="28"/>
  <c r="B34" i="28"/>
  <c r="L29" i="28"/>
  <c r="D47" i="1"/>
  <c r="D21" i="29"/>
  <c r="G47" i="1"/>
  <c r="C21" i="29"/>
  <c r="AP42" i="1"/>
  <c r="E19" i="49"/>
  <c r="B19" i="49"/>
  <c r="B50" i="5"/>
  <c r="B28" i="28"/>
  <c r="L28" i="28"/>
  <c r="B29" i="28"/>
  <c r="B31" i="5"/>
  <c r="B28" i="16"/>
  <c r="S18" i="5"/>
  <c r="B18" i="5"/>
  <c r="AK48" i="1"/>
  <c r="AH48" i="1"/>
  <c r="AE48" i="1"/>
  <c r="AB48" i="1"/>
  <c r="Y48" i="1"/>
  <c r="V48" i="1"/>
  <c r="S48" i="1"/>
  <c r="P48" i="1"/>
  <c r="M48" i="1"/>
  <c r="J48" i="1"/>
  <c r="G46" i="1"/>
  <c r="D46" i="1"/>
  <c r="D20" i="29"/>
  <c r="L68" i="28"/>
  <c r="C68" i="28"/>
  <c r="B68" i="28"/>
  <c r="L67" i="28"/>
  <c r="C67" i="28"/>
  <c r="B67" i="28"/>
  <c r="E8" i="29"/>
  <c r="E9" i="29"/>
  <c r="E10" i="29"/>
  <c r="E12" i="29"/>
  <c r="E14" i="29"/>
  <c r="E16" i="29"/>
  <c r="E17" i="29"/>
  <c r="E18" i="29"/>
  <c r="E19" i="29"/>
  <c r="E23" i="29"/>
  <c r="E24" i="29"/>
  <c r="E27" i="29"/>
  <c r="E28" i="29"/>
  <c r="E29" i="29"/>
  <c r="E30" i="29"/>
  <c r="E31" i="29"/>
  <c r="E32" i="29"/>
  <c r="E34" i="29"/>
  <c r="E35" i="29"/>
  <c r="E36" i="29"/>
  <c r="E38" i="29"/>
  <c r="E39" i="29"/>
  <c r="E41" i="29"/>
  <c r="L21" i="28"/>
  <c r="C21" i="28"/>
  <c r="B21" i="28"/>
  <c r="L20" i="28"/>
  <c r="C20" i="28"/>
  <c r="B20" i="28"/>
  <c r="C62" i="28"/>
  <c r="C63" i="28"/>
  <c r="C64" i="28"/>
  <c r="C65" i="28"/>
  <c r="C69" i="28"/>
  <c r="C70" i="28"/>
  <c r="C71" i="28"/>
  <c r="C72" i="28"/>
  <c r="C73" i="28"/>
  <c r="C74" i="28"/>
  <c r="C75" i="28"/>
  <c r="B35" i="29"/>
  <c r="B34" i="29"/>
  <c r="G9" i="4"/>
  <c r="H9" i="4"/>
  <c r="K9" i="4"/>
  <c r="L9" i="4"/>
  <c r="I9" i="4"/>
  <c r="P46" i="29"/>
  <c r="P47" i="29"/>
  <c r="C8" i="28"/>
  <c r="C9" i="28"/>
  <c r="C10" i="28"/>
  <c r="C11" i="28"/>
  <c r="C12" i="28"/>
  <c r="C13" i="28"/>
  <c r="C14" i="28"/>
  <c r="C15" i="28"/>
  <c r="C16" i="28"/>
  <c r="C17" i="28"/>
  <c r="C18" i="28"/>
  <c r="C19" i="28"/>
  <c r="C37" i="28"/>
  <c r="C38" i="28"/>
  <c r="C40" i="28"/>
  <c r="C41" i="28"/>
  <c r="L41" i="28"/>
  <c r="B41" i="28"/>
  <c r="L40" i="28"/>
  <c r="B40" i="28"/>
  <c r="L38" i="28"/>
  <c r="B38" i="28"/>
  <c r="L37" i="28"/>
  <c r="B37" i="28"/>
  <c r="G4" i="40"/>
  <c r="G5" i="40" s="1"/>
  <c r="B43" i="16"/>
  <c r="AK47" i="1"/>
  <c r="AH47" i="1"/>
  <c r="AE47" i="1"/>
  <c r="AB47" i="1"/>
  <c r="Y47" i="1"/>
  <c r="V47" i="1"/>
  <c r="S47" i="1"/>
  <c r="P47" i="1"/>
  <c r="M47" i="1"/>
  <c r="J47" i="1"/>
  <c r="AK46" i="1"/>
  <c r="AH46" i="1"/>
  <c r="AE46" i="1"/>
  <c r="AB46" i="1"/>
  <c r="Y46" i="1"/>
  <c r="V46" i="1"/>
  <c r="S46" i="1"/>
  <c r="P46" i="1"/>
  <c r="M46" i="1"/>
  <c r="J46" i="1"/>
  <c r="D42" i="1"/>
  <c r="D8" i="53" s="1"/>
  <c r="G42" i="1"/>
  <c r="C8" i="53" s="1"/>
  <c r="R7" i="7"/>
  <c r="D41" i="1"/>
  <c r="G41" i="1"/>
  <c r="C9" i="7" s="1"/>
  <c r="D40" i="1"/>
  <c r="D25" i="29" s="1"/>
  <c r="G40" i="1"/>
  <c r="C7" i="53" s="1"/>
  <c r="D38" i="1"/>
  <c r="D42" i="29" s="1"/>
  <c r="G38" i="1"/>
  <c r="G37" i="1"/>
  <c r="D36" i="1"/>
  <c r="G36" i="1"/>
  <c r="C42" i="29"/>
  <c r="D35" i="1"/>
  <c r="G35" i="1"/>
  <c r="AK33" i="1"/>
  <c r="AH33" i="1"/>
  <c r="AE33" i="1"/>
  <c r="AB33" i="1"/>
  <c r="Y33" i="1"/>
  <c r="V33" i="1"/>
  <c r="S33" i="1"/>
  <c r="P33" i="1"/>
  <c r="M33" i="1"/>
  <c r="J33" i="1"/>
  <c r="G33" i="1"/>
  <c r="C41" i="29" s="1"/>
  <c r="D33" i="1"/>
  <c r="D41" i="29" s="1"/>
  <c r="AK39" i="1"/>
  <c r="AH39" i="1"/>
  <c r="AE39" i="1"/>
  <c r="AB39" i="1"/>
  <c r="Y39" i="1"/>
  <c r="V39" i="1"/>
  <c r="S39" i="1"/>
  <c r="P39" i="1"/>
  <c r="M39" i="1"/>
  <c r="J39" i="1"/>
  <c r="N16" i="1"/>
  <c r="T16" i="1"/>
  <c r="Z16" i="1"/>
  <c r="AC16" i="1"/>
  <c r="AC32" i="1"/>
  <c r="R30" i="16" s="1"/>
  <c r="AC43" i="1"/>
  <c r="R41" i="16" s="1"/>
  <c r="G34" i="1"/>
  <c r="D34" i="1"/>
  <c r="D7" i="7" s="1"/>
  <c r="B29" i="5"/>
  <c r="S19" i="5"/>
  <c r="B19" i="5"/>
  <c r="AK7" i="1"/>
  <c r="AH7" i="1"/>
  <c r="AE7" i="1"/>
  <c r="AB7" i="1"/>
  <c r="Y7" i="1"/>
  <c r="V7" i="1"/>
  <c r="S7" i="1"/>
  <c r="P7" i="1"/>
  <c r="M7" i="1"/>
  <c r="J7" i="1"/>
  <c r="L75" i="28"/>
  <c r="B75" i="28"/>
  <c r="L74" i="28"/>
  <c r="B74" i="28"/>
  <c r="L73" i="28"/>
  <c r="B73" i="28"/>
  <c r="L72" i="28"/>
  <c r="B72" i="28"/>
  <c r="L71" i="28"/>
  <c r="B71" i="28"/>
  <c r="L70" i="28"/>
  <c r="B70" i="28"/>
  <c r="L69" i="28"/>
  <c r="B69" i="28"/>
  <c r="D45" i="1"/>
  <c r="D12" i="7" s="1"/>
  <c r="G45" i="1"/>
  <c r="C12" i="7" s="1"/>
  <c r="D44" i="1"/>
  <c r="D11" i="7" s="1"/>
  <c r="G44" i="1"/>
  <c r="C11" i="7" s="1"/>
  <c r="AK34" i="1"/>
  <c r="AH34" i="1"/>
  <c r="AE34" i="1"/>
  <c r="AB34" i="1"/>
  <c r="Y34" i="1"/>
  <c r="V34" i="1"/>
  <c r="S34" i="1"/>
  <c r="P34" i="1"/>
  <c r="M34" i="1"/>
  <c r="J34" i="1"/>
  <c r="AK31" i="1"/>
  <c r="AH31" i="1"/>
  <c r="AE31" i="1"/>
  <c r="AB31" i="1"/>
  <c r="Y31" i="1"/>
  <c r="V31" i="1"/>
  <c r="S31" i="1"/>
  <c r="P31" i="1"/>
  <c r="M31" i="1"/>
  <c r="J31" i="1"/>
  <c r="L11" i="28"/>
  <c r="B11" i="28"/>
  <c r="D16" i="1"/>
  <c r="L30" i="28"/>
  <c r="L31" i="28"/>
  <c r="B24" i="28"/>
  <c r="L24" i="28"/>
  <c r="B25" i="28"/>
  <c r="L25" i="28"/>
  <c r="B26" i="28"/>
  <c r="L26" i="28"/>
  <c r="B27" i="28"/>
  <c r="L27" i="28"/>
  <c r="O46" i="29"/>
  <c r="O47" i="29"/>
  <c r="L63" i="28"/>
  <c r="B63" i="28"/>
  <c r="L10" i="28"/>
  <c r="L12" i="28"/>
  <c r="L13" i="28"/>
  <c r="L14" i="28"/>
  <c r="L15" i="28"/>
  <c r="L16" i="28"/>
  <c r="L17" i="28"/>
  <c r="L18" i="28"/>
  <c r="L19" i="28"/>
  <c r="AK4" i="1"/>
  <c r="AH4" i="1"/>
  <c r="AE4" i="1"/>
  <c r="AB4" i="1"/>
  <c r="Y4" i="1"/>
  <c r="V4" i="1"/>
  <c r="S4" i="1"/>
  <c r="P4" i="1"/>
  <c r="M4" i="1"/>
  <c r="J4" i="1"/>
  <c r="J6" i="1"/>
  <c r="J8" i="1"/>
  <c r="M6" i="1"/>
  <c r="M8" i="1"/>
  <c r="P6" i="1"/>
  <c r="P8" i="1"/>
  <c r="S6" i="1"/>
  <c r="S8" i="1"/>
  <c r="V6" i="1"/>
  <c r="V8" i="1"/>
  <c r="Y6" i="1"/>
  <c r="Y8" i="1"/>
  <c r="AB6" i="1"/>
  <c r="AB8" i="1"/>
  <c r="AE6" i="1"/>
  <c r="AE8" i="1"/>
  <c r="AH6" i="1"/>
  <c r="AH8" i="1"/>
  <c r="AK6" i="1"/>
  <c r="AK8" i="1"/>
  <c r="AK38" i="1"/>
  <c r="AH38" i="1"/>
  <c r="AE38" i="1"/>
  <c r="AB38" i="1"/>
  <c r="Y38" i="1"/>
  <c r="V38" i="1"/>
  <c r="S38" i="1"/>
  <c r="P38" i="1"/>
  <c r="M38" i="1"/>
  <c r="J38" i="1"/>
  <c r="B36" i="5"/>
  <c r="S36" i="5"/>
  <c r="B38" i="5"/>
  <c r="S38" i="5"/>
  <c r="S35" i="5"/>
  <c r="B35" i="5"/>
  <c r="B27" i="5"/>
  <c r="B28" i="5"/>
  <c r="B30" i="5"/>
  <c r="B26" i="5"/>
  <c r="B25" i="5"/>
  <c r="G16" i="1"/>
  <c r="S21" i="5"/>
  <c r="B21" i="5"/>
  <c r="B16" i="5"/>
  <c r="S16" i="5"/>
  <c r="B17" i="5"/>
  <c r="S17" i="5"/>
  <c r="S15" i="5"/>
  <c r="B15" i="5"/>
  <c r="B13" i="5"/>
  <c r="S13" i="5"/>
  <c r="S12" i="5"/>
  <c r="B12" i="5"/>
  <c r="S11" i="5"/>
  <c r="B11" i="5"/>
  <c r="B9" i="5"/>
  <c r="S9" i="5"/>
  <c r="AK5" i="1"/>
  <c r="AH5" i="1"/>
  <c r="AE5" i="1"/>
  <c r="AB5" i="1"/>
  <c r="Y5" i="1"/>
  <c r="V5" i="1"/>
  <c r="S5" i="1"/>
  <c r="P5" i="1"/>
  <c r="M5" i="1"/>
  <c r="J5" i="1"/>
  <c r="B3" i="6"/>
  <c r="S70" i="16"/>
  <c r="S71" i="16"/>
  <c r="J60" i="28"/>
  <c r="I60" i="28"/>
  <c r="B41" i="29"/>
  <c r="F22" i="12"/>
  <c r="B62" i="28"/>
  <c r="L62" i="28"/>
  <c r="B64" i="28"/>
  <c r="L64" i="28"/>
  <c r="B65" i="28"/>
  <c r="L65" i="28"/>
  <c r="B9" i="28"/>
  <c r="L9" i="28"/>
  <c r="B10" i="28"/>
  <c r="B12" i="28"/>
  <c r="B13" i="28"/>
  <c r="B14" i="28"/>
  <c r="B15" i="28"/>
  <c r="B16" i="28"/>
  <c r="B17" i="28"/>
  <c r="B18" i="28"/>
  <c r="B19" i="28"/>
  <c r="B30" i="28"/>
  <c r="B31" i="28"/>
  <c r="L8" i="28"/>
  <c r="B8" i="28"/>
  <c r="B58" i="28"/>
  <c r="AK45" i="1"/>
  <c r="AH45" i="1"/>
  <c r="AE45" i="1"/>
  <c r="AB45" i="1"/>
  <c r="Y45" i="1"/>
  <c r="V45" i="1"/>
  <c r="S45" i="1"/>
  <c r="P45" i="1"/>
  <c r="M45" i="1"/>
  <c r="J45" i="1"/>
  <c r="AK32" i="1"/>
  <c r="AH32" i="1"/>
  <c r="AE32" i="1"/>
  <c r="AB32" i="1"/>
  <c r="Y32" i="1"/>
  <c r="V32" i="1"/>
  <c r="S32" i="1"/>
  <c r="P32" i="1"/>
  <c r="M32" i="1"/>
  <c r="J32" i="1"/>
  <c r="B39" i="29"/>
  <c r="I85" i="28"/>
  <c r="E85" i="28"/>
  <c r="I79" i="28"/>
  <c r="B78" i="28"/>
  <c r="B7" i="16"/>
  <c r="B8" i="16"/>
  <c r="B9" i="16"/>
  <c r="B10" i="16"/>
  <c r="B11" i="16"/>
  <c r="B12" i="16"/>
  <c r="B13" i="16"/>
  <c r="B16" i="16"/>
  <c r="B17" i="16"/>
  <c r="B18" i="16"/>
  <c r="B19" i="16"/>
  <c r="B20" i="16"/>
  <c r="B21" i="16"/>
  <c r="B22" i="16"/>
  <c r="B23" i="16"/>
  <c r="B24" i="16"/>
  <c r="B26" i="16"/>
  <c r="B30" i="16"/>
  <c r="B31" i="16"/>
  <c r="B33" i="16"/>
  <c r="B39" i="16"/>
  <c r="B8" i="5"/>
  <c r="S8" i="5"/>
  <c r="B1" i="16"/>
  <c r="AK28" i="1"/>
  <c r="AH28" i="1"/>
  <c r="AE28" i="1"/>
  <c r="AB28" i="1"/>
  <c r="Y28" i="1"/>
  <c r="V28" i="1"/>
  <c r="S28" i="1"/>
  <c r="P28" i="1"/>
  <c r="M28" i="1"/>
  <c r="J28" i="1"/>
  <c r="B18" i="29"/>
  <c r="B31" i="29"/>
  <c r="B30" i="29"/>
  <c r="S7" i="5"/>
  <c r="E52" i="28"/>
  <c r="J3" i="1"/>
  <c r="J9" i="1"/>
  <c r="J10" i="1"/>
  <c r="J11" i="1"/>
  <c r="J12" i="1"/>
  <c r="J29" i="1"/>
  <c r="M3" i="1"/>
  <c r="M9" i="1"/>
  <c r="M10" i="1"/>
  <c r="M11" i="1"/>
  <c r="M12" i="1"/>
  <c r="M29" i="1"/>
  <c r="P3" i="1"/>
  <c r="P9" i="1"/>
  <c r="P10" i="1"/>
  <c r="P11" i="1"/>
  <c r="P12" i="1"/>
  <c r="P29" i="1"/>
  <c r="S3" i="1"/>
  <c r="S9" i="1"/>
  <c r="S10" i="1"/>
  <c r="S11" i="1"/>
  <c r="S12" i="1"/>
  <c r="S29" i="1"/>
  <c r="V3" i="1"/>
  <c r="V9" i="1"/>
  <c r="V10" i="1"/>
  <c r="V11" i="1"/>
  <c r="V12" i="1"/>
  <c r="V29" i="1"/>
  <c r="Y3" i="1"/>
  <c r="Y9" i="1"/>
  <c r="Y10" i="1"/>
  <c r="Y11" i="1"/>
  <c r="Y12" i="1"/>
  <c r="Y29" i="1"/>
  <c r="AB29" i="1"/>
  <c r="AB3" i="1"/>
  <c r="AB9" i="1"/>
  <c r="AB10" i="1"/>
  <c r="AB11" i="1"/>
  <c r="AB12" i="1"/>
  <c r="AE3" i="1"/>
  <c r="AE9" i="1"/>
  <c r="AE10" i="1"/>
  <c r="AE11" i="1"/>
  <c r="AE12" i="1"/>
  <c r="AE29" i="1"/>
  <c r="AH3" i="1"/>
  <c r="AH9" i="1"/>
  <c r="AH10" i="1"/>
  <c r="AH11" i="1"/>
  <c r="AH12" i="1"/>
  <c r="AH29" i="1"/>
  <c r="AK3" i="1"/>
  <c r="AK9" i="1"/>
  <c r="AK10" i="1"/>
  <c r="AK11" i="1"/>
  <c r="AK12" i="1"/>
  <c r="AK29" i="1"/>
  <c r="J16" i="1"/>
  <c r="J17" i="1"/>
  <c r="J18" i="1"/>
  <c r="J19" i="1"/>
  <c r="J20" i="1"/>
  <c r="J21" i="1"/>
  <c r="J22" i="1"/>
  <c r="J23" i="1"/>
  <c r="J24" i="1"/>
  <c r="J25" i="1"/>
  <c r="M16" i="1"/>
  <c r="M17" i="1"/>
  <c r="M18" i="1"/>
  <c r="M19" i="1"/>
  <c r="M20" i="1"/>
  <c r="M21" i="1"/>
  <c r="M22" i="1"/>
  <c r="M23" i="1"/>
  <c r="M24" i="1"/>
  <c r="M25" i="1"/>
  <c r="P16" i="1"/>
  <c r="P17" i="1"/>
  <c r="P18" i="1"/>
  <c r="P19" i="1"/>
  <c r="P20" i="1"/>
  <c r="P21" i="1"/>
  <c r="P22" i="1"/>
  <c r="P23" i="1"/>
  <c r="P24" i="1"/>
  <c r="P25" i="1"/>
  <c r="S16" i="1"/>
  <c r="S17" i="1"/>
  <c r="S18" i="1"/>
  <c r="S19" i="1"/>
  <c r="S20" i="1"/>
  <c r="S21" i="1"/>
  <c r="S22" i="1"/>
  <c r="S23" i="1"/>
  <c r="S24" i="1"/>
  <c r="S25" i="1"/>
  <c r="V16" i="1"/>
  <c r="V17" i="1"/>
  <c r="V18" i="1"/>
  <c r="V19" i="1"/>
  <c r="V20" i="1"/>
  <c r="V21" i="1"/>
  <c r="V22" i="1"/>
  <c r="V23" i="1"/>
  <c r="V24" i="1"/>
  <c r="V25" i="1"/>
  <c r="Y16" i="1"/>
  <c r="Y17" i="1"/>
  <c r="Y18" i="1"/>
  <c r="Y19" i="1"/>
  <c r="Y20" i="1"/>
  <c r="Y21" i="1"/>
  <c r="Y22" i="1"/>
  <c r="Y23" i="1"/>
  <c r="Y24" i="1"/>
  <c r="Y25" i="1"/>
  <c r="AB16" i="1"/>
  <c r="AB17" i="1"/>
  <c r="AB18" i="1"/>
  <c r="AB19" i="1"/>
  <c r="AB20" i="1"/>
  <c r="AB21" i="1"/>
  <c r="AB22" i="1"/>
  <c r="AB23" i="1"/>
  <c r="AB24" i="1"/>
  <c r="AB25" i="1"/>
  <c r="AE16" i="1"/>
  <c r="AE17" i="1"/>
  <c r="AE18" i="1"/>
  <c r="AE19" i="1"/>
  <c r="AE20" i="1"/>
  <c r="AE21" i="1"/>
  <c r="AE22" i="1"/>
  <c r="AE23" i="1"/>
  <c r="AE24" i="1"/>
  <c r="AE25" i="1"/>
  <c r="AH16" i="1"/>
  <c r="AH17" i="1"/>
  <c r="AH18" i="1"/>
  <c r="AH19" i="1"/>
  <c r="AH20" i="1"/>
  <c r="AH21" i="1"/>
  <c r="AH22" i="1"/>
  <c r="AH23" i="1"/>
  <c r="AH24" i="1"/>
  <c r="AH25" i="1"/>
  <c r="AK16" i="1"/>
  <c r="AK17" i="1"/>
  <c r="AK18" i="1"/>
  <c r="AK19" i="1"/>
  <c r="AK20" i="1"/>
  <c r="AK21" i="1"/>
  <c r="AK22" i="1"/>
  <c r="AK23" i="1"/>
  <c r="AK24" i="1"/>
  <c r="AK25" i="1"/>
  <c r="J35" i="1"/>
  <c r="J36" i="1"/>
  <c r="J37" i="1"/>
  <c r="M35" i="1"/>
  <c r="M36" i="1"/>
  <c r="M37" i="1"/>
  <c r="P35" i="1"/>
  <c r="P36" i="1"/>
  <c r="P37" i="1"/>
  <c r="S35" i="1"/>
  <c r="S36" i="1"/>
  <c r="S37" i="1"/>
  <c r="V35" i="1"/>
  <c r="V36" i="1"/>
  <c r="V37" i="1"/>
  <c r="Y35" i="1"/>
  <c r="Y36" i="1"/>
  <c r="Y37" i="1"/>
  <c r="AB35" i="1"/>
  <c r="AB36" i="1"/>
  <c r="AB37" i="1"/>
  <c r="AE35" i="1"/>
  <c r="AE36" i="1"/>
  <c r="AE37" i="1"/>
  <c r="AH35" i="1"/>
  <c r="AH36" i="1"/>
  <c r="AH37" i="1"/>
  <c r="AK35" i="1"/>
  <c r="AK36" i="1"/>
  <c r="AK37" i="1"/>
  <c r="J40" i="1"/>
  <c r="J41" i="1"/>
  <c r="J42" i="1"/>
  <c r="J43" i="1"/>
  <c r="J44" i="1"/>
  <c r="M40" i="1"/>
  <c r="M41" i="1"/>
  <c r="M42" i="1"/>
  <c r="M43" i="1"/>
  <c r="M44" i="1"/>
  <c r="P40" i="1"/>
  <c r="P41" i="1"/>
  <c r="P42" i="1"/>
  <c r="P43" i="1"/>
  <c r="P44" i="1"/>
  <c r="S40" i="1"/>
  <c r="S41" i="1"/>
  <c r="S42" i="1"/>
  <c r="S43" i="1"/>
  <c r="S44" i="1"/>
  <c r="V40" i="1"/>
  <c r="V41" i="1"/>
  <c r="V42" i="1"/>
  <c r="V43" i="1"/>
  <c r="V44" i="1"/>
  <c r="Y40" i="1"/>
  <c r="Y41" i="1"/>
  <c r="Y42" i="1"/>
  <c r="Y43" i="1"/>
  <c r="Y44" i="1"/>
  <c r="AB40" i="1"/>
  <c r="AB41" i="1"/>
  <c r="AB42" i="1"/>
  <c r="AB43" i="1"/>
  <c r="AB44" i="1"/>
  <c r="AE40" i="1"/>
  <c r="AE41" i="1"/>
  <c r="AE42" i="1"/>
  <c r="AE43" i="1"/>
  <c r="AE44" i="1"/>
  <c r="AH40" i="1"/>
  <c r="AH41" i="1"/>
  <c r="AH42" i="1"/>
  <c r="AH43" i="1"/>
  <c r="AH44" i="1"/>
  <c r="AK40" i="1"/>
  <c r="AK41" i="1"/>
  <c r="AK42" i="1"/>
  <c r="AK43" i="1"/>
  <c r="AK44" i="1"/>
  <c r="B7" i="5"/>
  <c r="D62" i="29"/>
  <c r="B38" i="29"/>
  <c r="B28" i="29"/>
  <c r="B29" i="29"/>
  <c r="B32" i="29"/>
  <c r="B36" i="29"/>
  <c r="B27" i="29"/>
  <c r="B24" i="29"/>
  <c r="C23" i="29"/>
  <c r="B23" i="29"/>
  <c r="B17" i="29"/>
  <c r="B19" i="29"/>
  <c r="B16" i="29"/>
  <c r="B13" i="29"/>
  <c r="B14" i="29"/>
  <c r="B12" i="29"/>
  <c r="B9" i="29"/>
  <c r="B10" i="29"/>
  <c r="B8" i="29"/>
  <c r="N62" i="29"/>
  <c r="B62" i="29"/>
  <c r="N54" i="29"/>
  <c r="B53" i="29"/>
  <c r="A4" i="29"/>
  <c r="B43" i="28"/>
  <c r="B10" i="4"/>
  <c r="B4" i="6"/>
  <c r="C8" i="6"/>
  <c r="B5" i="6"/>
  <c r="B6" i="6"/>
  <c r="B7" i="6"/>
  <c r="E8" i="6"/>
  <c r="B5" i="16"/>
  <c r="B6" i="16"/>
  <c r="B4" i="16"/>
  <c r="I52" i="28"/>
  <c r="I44" i="28"/>
  <c r="A4" i="28"/>
  <c r="N42" i="5"/>
  <c r="D8" i="6"/>
  <c r="B3" i="16"/>
  <c r="M21" i="7"/>
  <c r="D21" i="7"/>
  <c r="M15" i="7"/>
  <c r="A4" i="7"/>
  <c r="N19" i="4"/>
  <c r="D19" i="4"/>
  <c r="B19" i="4"/>
  <c r="N11" i="4"/>
  <c r="A4" i="4"/>
  <c r="N50" i="5"/>
  <c r="D50" i="5"/>
  <c r="A4" i="5"/>
  <c r="D12" i="16"/>
  <c r="E15" i="16"/>
  <c r="D23" i="16"/>
  <c r="G17" i="29"/>
  <c r="D24" i="16"/>
  <c r="E11" i="28"/>
  <c r="G11" i="5"/>
  <c r="E6" i="16"/>
  <c r="C9" i="29"/>
  <c r="H17" i="28"/>
  <c r="J17" i="28" s="1"/>
  <c r="F19" i="5"/>
  <c r="G17" i="5"/>
  <c r="L21" i="5"/>
  <c r="D13" i="16"/>
  <c r="D76" i="28"/>
  <c r="F76" i="28" s="1"/>
  <c r="G16" i="29"/>
  <c r="W11" i="1"/>
  <c r="I11" i="16" s="1"/>
  <c r="F18" i="29"/>
  <c r="R43" i="16"/>
  <c r="D75" i="28"/>
  <c r="H13" i="28"/>
  <c r="E22" i="16"/>
  <c r="L19" i="5"/>
  <c r="E12" i="16"/>
  <c r="C12" i="5"/>
  <c r="E8" i="16"/>
  <c r="E68" i="28"/>
  <c r="D8" i="16"/>
  <c r="J36" i="5"/>
  <c r="J29" i="5"/>
  <c r="C9" i="5"/>
  <c r="W12" i="1"/>
  <c r="H29" i="28"/>
  <c r="J33" i="5"/>
  <c r="I43" i="29"/>
  <c r="H43" i="29"/>
  <c r="H52" i="29" s="1"/>
  <c r="E43" i="29"/>
  <c r="Q48" i="29"/>
  <c r="G43" i="29"/>
  <c r="F43" i="29"/>
  <c r="N43" i="29"/>
  <c r="O45" i="29"/>
  <c r="P45" i="29"/>
  <c r="O44" i="29"/>
  <c r="P44" i="29"/>
  <c r="M52" i="29"/>
  <c r="K52" i="29"/>
  <c r="J52" i="29"/>
  <c r="L52" i="29"/>
  <c r="P11" i="52"/>
  <c r="P13" i="52"/>
  <c r="P15" i="52"/>
  <c r="P12" i="52"/>
  <c r="P9" i="52"/>
  <c r="P10" i="52"/>
  <c r="P7" i="52" s="1"/>
  <c r="P16" i="52" s="1"/>
  <c r="P14" i="52"/>
  <c r="H13" i="5"/>
  <c r="H18" i="28"/>
  <c r="F38" i="5"/>
  <c r="F24" i="29"/>
  <c r="F16" i="5"/>
  <c r="F34" i="29"/>
  <c r="H76" i="28"/>
  <c r="O7" i="52"/>
  <c r="O16" i="52" s="1"/>
  <c r="G12" i="29"/>
  <c r="C36" i="29"/>
  <c r="N7" i="52"/>
  <c r="N16" i="52" s="1"/>
  <c r="C16" i="52"/>
  <c r="G36" i="5"/>
  <c r="E10" i="16"/>
  <c r="D15" i="5"/>
  <c r="G34" i="29"/>
  <c r="E32" i="28"/>
  <c r="F32" i="28" s="1"/>
  <c r="E24" i="16"/>
  <c r="G28" i="29"/>
  <c r="E17" i="16"/>
  <c r="F30" i="5"/>
  <c r="D30" i="28"/>
  <c r="F25" i="5"/>
  <c r="D24" i="28"/>
  <c r="AI18" i="1"/>
  <c r="F28" i="29"/>
  <c r="C20" i="29"/>
  <c r="H30" i="5"/>
  <c r="L25" i="5"/>
  <c r="G21" i="29"/>
  <c r="C31" i="5"/>
  <c r="C26" i="5"/>
  <c r="F36" i="29"/>
  <c r="J19" i="5"/>
  <c r="C31" i="29"/>
  <c r="F7" i="5"/>
  <c r="F42" i="5" s="1"/>
  <c r="H75" i="28"/>
  <c r="J75" i="28" s="1"/>
  <c r="D26" i="28"/>
  <c r="Q20" i="1"/>
  <c r="F27" i="5"/>
  <c r="C11" i="5"/>
  <c r="C12" i="29"/>
  <c r="C17" i="5"/>
  <c r="F20" i="29"/>
  <c r="D39" i="29"/>
  <c r="D24" i="5"/>
  <c r="J25" i="5"/>
  <c r="G24" i="5"/>
  <c r="F29" i="5"/>
  <c r="E15" i="28"/>
  <c r="AI10" i="1"/>
  <c r="L10" i="16" s="1"/>
  <c r="G8" i="29"/>
  <c r="G54" i="29" s="1"/>
  <c r="F33" i="5"/>
  <c r="F32" i="29"/>
  <c r="D30" i="16"/>
  <c r="G30" i="5"/>
  <c r="O30" i="5" s="1"/>
  <c r="L36" i="5"/>
  <c r="W18" i="1"/>
  <c r="K25" i="5" s="1"/>
  <c r="J17" i="5"/>
  <c r="D14" i="29"/>
  <c r="H40" i="28"/>
  <c r="C36" i="5"/>
  <c r="E30" i="28"/>
  <c r="AI28" i="1"/>
  <c r="G34" i="28" s="1"/>
  <c r="I20" i="29"/>
  <c r="H28" i="5"/>
  <c r="W27" i="1"/>
  <c r="AF27" i="1"/>
  <c r="K25" i="16" s="1"/>
  <c r="M18" i="16"/>
  <c r="H25" i="28"/>
  <c r="C35" i="5"/>
  <c r="Q13" i="1"/>
  <c r="G13" i="16" s="1"/>
  <c r="E10" i="28"/>
  <c r="H29" i="5"/>
  <c r="F38" i="29"/>
  <c r="D25" i="5"/>
  <c r="D28" i="29"/>
  <c r="E19" i="16"/>
  <c r="AF20" i="1"/>
  <c r="M27" i="5" s="1"/>
  <c r="G30" i="29"/>
  <c r="D32" i="28"/>
  <c r="F32" i="5"/>
  <c r="D28" i="28"/>
  <c r="AI22" i="1"/>
  <c r="G28" i="28" s="1"/>
  <c r="I28" i="28" s="1"/>
  <c r="D16" i="5"/>
  <c r="E9" i="16"/>
  <c r="F15" i="5"/>
  <c r="F14" i="5" s="1"/>
  <c r="G9" i="29"/>
  <c r="M27" i="16"/>
  <c r="H35" i="28"/>
  <c r="M17" i="16"/>
  <c r="H24" i="28"/>
  <c r="H11" i="28"/>
  <c r="M6" i="16"/>
  <c r="J7" i="7"/>
  <c r="J6" i="7" s="1"/>
  <c r="D67" i="28"/>
  <c r="F37" i="5"/>
  <c r="F40" i="29"/>
  <c r="G36" i="29"/>
  <c r="Q37" i="1"/>
  <c r="G34" i="16" s="1"/>
  <c r="G20" i="29"/>
  <c r="AF15" i="1"/>
  <c r="K15" i="16" s="1"/>
  <c r="H62" i="28"/>
  <c r="J62" i="28" s="1"/>
  <c r="E5" i="16"/>
  <c r="H65" i="28"/>
  <c r="AI30" i="1"/>
  <c r="L28" i="16" s="1"/>
  <c r="G37" i="28"/>
  <c r="I37" i="28" s="1"/>
  <c r="AF26" i="1"/>
  <c r="M32" i="5" s="1"/>
  <c r="D38" i="28"/>
  <c r="D42" i="16"/>
  <c r="L35" i="5"/>
  <c r="L34" i="5" s="1"/>
  <c r="AI29" i="1"/>
  <c r="G35" i="28" s="1"/>
  <c r="AF29" i="1"/>
  <c r="K27" i="16" s="1"/>
  <c r="W29" i="1"/>
  <c r="K36" i="5" s="1"/>
  <c r="I27" i="16"/>
  <c r="AI24" i="1"/>
  <c r="D31" i="28"/>
  <c r="D17" i="28"/>
  <c r="Q42" i="1"/>
  <c r="G40" i="16" s="1"/>
  <c r="D29" i="29"/>
  <c r="J24" i="5"/>
  <c r="J18" i="5"/>
  <c r="J12" i="5"/>
  <c r="F9" i="5"/>
  <c r="Q7" i="1"/>
  <c r="W7" i="1"/>
  <c r="I7" i="16" s="1"/>
  <c r="G29" i="29"/>
  <c r="AF24" i="1"/>
  <c r="K22" i="16" s="1"/>
  <c r="F31" i="5"/>
  <c r="Q24" i="1"/>
  <c r="W24" i="1"/>
  <c r="I22" i="16" s="1"/>
  <c r="W5" i="1"/>
  <c r="I5" i="16" s="1"/>
  <c r="AI5" i="1"/>
  <c r="Q41" i="1"/>
  <c r="J11" i="5"/>
  <c r="D38" i="29"/>
  <c r="D35" i="5"/>
  <c r="D37" i="28"/>
  <c r="G32" i="5"/>
  <c r="Q22" i="1"/>
  <c r="I32" i="29" s="1"/>
  <c r="W22" i="1"/>
  <c r="G18" i="29"/>
  <c r="G15" i="29" s="1"/>
  <c r="E16" i="28"/>
  <c r="F17" i="5"/>
  <c r="Q11" i="1"/>
  <c r="G11" i="16" s="1"/>
  <c r="AF11" i="1"/>
  <c r="M17" i="5" s="1"/>
  <c r="D16" i="28"/>
  <c r="H67" i="28"/>
  <c r="D41" i="16"/>
  <c r="J28" i="5"/>
  <c r="L18" i="5"/>
  <c r="J8" i="5"/>
  <c r="D10" i="28"/>
  <c r="D5" i="16"/>
  <c r="M10" i="16"/>
  <c r="H15" i="28"/>
  <c r="H9" i="5"/>
  <c r="Q5" i="1"/>
  <c r="I9" i="5" s="1"/>
  <c r="P9" i="5" s="1"/>
  <c r="D62" i="28"/>
  <c r="L12" i="5"/>
  <c r="M30" i="16"/>
  <c r="H39" i="28"/>
  <c r="J39" i="28" s="1"/>
  <c r="H19" i="28"/>
  <c r="H39" i="5"/>
  <c r="D17" i="16"/>
  <c r="F33" i="29"/>
  <c r="AF5" i="1"/>
  <c r="M9" i="5" s="1"/>
  <c r="AF41" i="1"/>
  <c r="D7" i="16"/>
  <c r="O7" i="16" s="1"/>
  <c r="C39" i="5"/>
  <c r="J38" i="5"/>
  <c r="W28" i="1"/>
  <c r="I26" i="16" s="1"/>
  <c r="D35" i="28"/>
  <c r="Q28" i="1"/>
  <c r="I35" i="5" s="1"/>
  <c r="F35" i="5"/>
  <c r="C30" i="29"/>
  <c r="C25" i="5"/>
  <c r="H19" i="5"/>
  <c r="C15" i="5"/>
  <c r="C16" i="29"/>
  <c r="D15" i="28"/>
  <c r="W10" i="1"/>
  <c r="I10" i="16" s="1"/>
  <c r="D10" i="16"/>
  <c r="F17" i="29"/>
  <c r="F15" i="29" s="1"/>
  <c r="G12" i="5"/>
  <c r="E12" i="28"/>
  <c r="F13" i="5"/>
  <c r="W8" i="1"/>
  <c r="I8" i="16" s="1"/>
  <c r="AI8" i="1"/>
  <c r="D13" i="28"/>
  <c r="G7" i="5"/>
  <c r="D20" i="28"/>
  <c r="F35" i="29"/>
  <c r="Q26" i="1"/>
  <c r="D25" i="16"/>
  <c r="C40" i="29"/>
  <c r="C37" i="5"/>
  <c r="J7" i="5"/>
  <c r="L37" i="5"/>
  <c r="H72" i="28"/>
  <c r="J72" i="28" s="1"/>
  <c r="H16" i="28"/>
  <c r="J16" i="28" s="1"/>
  <c r="H14" i="28"/>
  <c r="J37" i="5"/>
  <c r="H33" i="28"/>
  <c r="J33" i="28" s="1"/>
  <c r="D29" i="16"/>
  <c r="G39" i="5"/>
  <c r="E39" i="16"/>
  <c r="AF40" i="1"/>
  <c r="K33" i="16" s="1"/>
  <c r="M36" i="5"/>
  <c r="K9" i="5"/>
  <c r="I18" i="29"/>
  <c r="U32" i="16"/>
  <c r="U37" i="16"/>
  <c r="U34" i="16"/>
  <c r="U35" i="16"/>
  <c r="U36" i="16"/>
  <c r="U38" i="16"/>
  <c r="L39" i="5"/>
  <c r="G38" i="5"/>
  <c r="E39" i="28"/>
  <c r="D9" i="16"/>
  <c r="F16" i="29"/>
  <c r="AF9" i="1"/>
  <c r="K9" i="16" s="1"/>
  <c r="Q9" i="1"/>
  <c r="D15" i="16"/>
  <c r="W15" i="1"/>
  <c r="I15" i="16" s="1"/>
  <c r="AI15" i="1"/>
  <c r="G20" i="28" s="1"/>
  <c r="I20" i="28" s="1"/>
  <c r="F22" i="5"/>
  <c r="H15" i="5"/>
  <c r="Q15" i="1"/>
  <c r="G15" i="16" s="1"/>
  <c r="E71" i="28"/>
  <c r="E64" i="28"/>
  <c r="AF32" i="1"/>
  <c r="W32" i="1"/>
  <c r="K39" i="5" s="1"/>
  <c r="I24" i="29"/>
  <c r="G24" i="29"/>
  <c r="L16" i="5"/>
  <c r="H12" i="5"/>
  <c r="H10" i="5" s="1"/>
  <c r="G19" i="29"/>
  <c r="E17" i="28"/>
  <c r="G18" i="5"/>
  <c r="Q12" i="1"/>
  <c r="AI12" i="1"/>
  <c r="L12" i="16" s="1"/>
  <c r="F18" i="5"/>
  <c r="F19" i="29"/>
  <c r="AF12" i="1"/>
  <c r="D9" i="5"/>
  <c r="D10" i="29"/>
  <c r="Q4" i="1"/>
  <c r="I8" i="5" s="1"/>
  <c r="M38" i="16"/>
  <c r="H74" i="28"/>
  <c r="M34" i="16"/>
  <c r="AF16" i="1"/>
  <c r="E21" i="28"/>
  <c r="J35" i="5"/>
  <c r="F11" i="5"/>
  <c r="D19" i="28"/>
  <c r="D14" i="16"/>
  <c r="F21" i="5"/>
  <c r="F20" i="5" s="1"/>
  <c r="F23" i="29"/>
  <c r="M15" i="16"/>
  <c r="H20" i="28"/>
  <c r="J20" i="28" s="1"/>
  <c r="E38" i="16"/>
  <c r="W39" i="1"/>
  <c r="I36" i="16" s="1"/>
  <c r="AF39" i="1"/>
  <c r="K36" i="16"/>
  <c r="AI39" i="1"/>
  <c r="Q34" i="1"/>
  <c r="G31" i="16" s="1"/>
  <c r="F28" i="5"/>
  <c r="D9" i="53"/>
  <c r="E6" i="49"/>
  <c r="F6" i="49" s="1"/>
  <c r="F7" i="49" s="1"/>
  <c r="E44" i="16"/>
  <c r="G8" i="53"/>
  <c r="E63" i="28"/>
  <c r="F9" i="7"/>
  <c r="W41" i="1"/>
  <c r="K9" i="7" s="1"/>
  <c r="AI41" i="1"/>
  <c r="G73" i="28" s="1"/>
  <c r="G7" i="53"/>
  <c r="Q40" i="1"/>
  <c r="I25" i="29" s="1"/>
  <c r="D31" i="29"/>
  <c r="D28" i="5"/>
  <c r="L32" i="5"/>
  <c r="J22" i="5"/>
  <c r="E18" i="28"/>
  <c r="AF13" i="1"/>
  <c r="K13" i="16" s="1"/>
  <c r="D33" i="5"/>
  <c r="D35" i="29"/>
  <c r="D9" i="7"/>
  <c r="F12" i="7"/>
  <c r="J9" i="7"/>
  <c r="L7" i="53"/>
  <c r="D39" i="16"/>
  <c r="H36" i="5"/>
  <c r="L10" i="7"/>
  <c r="F10" i="7"/>
  <c r="D34" i="29"/>
  <c r="D32" i="5"/>
  <c r="L13" i="5"/>
  <c r="M5" i="16"/>
  <c r="E29" i="16"/>
  <c r="H26" i="5"/>
  <c r="E33" i="16"/>
  <c r="E67" i="28"/>
  <c r="F67" i="28" s="1"/>
  <c r="J10" i="7"/>
  <c r="L38" i="5"/>
  <c r="D27" i="5"/>
  <c r="AF22" i="1"/>
  <c r="G32" i="29"/>
  <c r="M26" i="16"/>
  <c r="H34" i="28"/>
  <c r="C7" i="7"/>
  <c r="J12" i="7"/>
  <c r="F11" i="7"/>
  <c r="L8" i="53"/>
  <c r="J7" i="53"/>
  <c r="C10" i="7"/>
  <c r="C9" i="53"/>
  <c r="G9" i="7"/>
  <c r="M20" i="16"/>
  <c r="M44" i="16"/>
  <c r="H8" i="53"/>
  <c r="H11" i="7"/>
  <c r="H9" i="7"/>
  <c r="M9" i="4"/>
  <c r="O9" i="4"/>
  <c r="E9" i="4"/>
  <c r="F4" i="12" s="1"/>
  <c r="P9" i="4"/>
  <c r="I16" i="29"/>
  <c r="Q9" i="4"/>
  <c r="M7" i="16"/>
  <c r="H12" i="28"/>
  <c r="G9" i="16"/>
  <c r="P9" i="16" s="1"/>
  <c r="I15" i="5"/>
  <c r="G7" i="16"/>
  <c r="H35" i="5"/>
  <c r="H37" i="28"/>
  <c r="H36" i="28" s="1"/>
  <c r="AI48" i="1"/>
  <c r="L44" i="16" s="1"/>
  <c r="Q48" i="1"/>
  <c r="G44" i="16"/>
  <c r="G9" i="53"/>
  <c r="E37" i="16"/>
  <c r="E73" i="28"/>
  <c r="D35" i="16"/>
  <c r="D70" i="28"/>
  <c r="F42" i="29"/>
  <c r="Q36" i="1"/>
  <c r="W36" i="1"/>
  <c r="W35" i="1"/>
  <c r="AF35" i="1"/>
  <c r="AI35" i="1"/>
  <c r="G67" i="28" s="1"/>
  <c r="Q35" i="1"/>
  <c r="D34" i="16"/>
  <c r="F27" i="29"/>
  <c r="AI17" i="1"/>
  <c r="L16" i="16" s="1"/>
  <c r="F24" i="5"/>
  <c r="D12" i="5"/>
  <c r="D13" i="29"/>
  <c r="H8" i="5"/>
  <c r="G14" i="29"/>
  <c r="E13" i="28"/>
  <c r="G13" i="5"/>
  <c r="AF8" i="1"/>
  <c r="M13" i="5" s="1"/>
  <c r="Q8" i="1"/>
  <c r="G8" i="16" s="1"/>
  <c r="F13" i="29"/>
  <c r="AF7" i="1"/>
  <c r="K7" i="16" s="1"/>
  <c r="AI7" i="1"/>
  <c r="F12" i="5"/>
  <c r="D12" i="28"/>
  <c r="D7" i="5"/>
  <c r="D8" i="29"/>
  <c r="L7" i="5"/>
  <c r="E4" i="16"/>
  <c r="E9" i="28"/>
  <c r="AF4" i="1"/>
  <c r="K4" i="16" s="1"/>
  <c r="D3" i="16"/>
  <c r="W3" i="1"/>
  <c r="AF3" i="1"/>
  <c r="K3" i="16" s="1"/>
  <c r="F8" i="29"/>
  <c r="F54" i="29" s="1"/>
  <c r="Q3" i="1"/>
  <c r="D8" i="28"/>
  <c r="AI3" i="1"/>
  <c r="L3" i="16" s="1"/>
  <c r="M32" i="16"/>
  <c r="H41" i="28"/>
  <c r="M23" i="16"/>
  <c r="H31" i="28"/>
  <c r="W47" i="1"/>
  <c r="F21" i="29"/>
  <c r="AI47" i="1"/>
  <c r="G64" i="28" s="1"/>
  <c r="Q47" i="1"/>
  <c r="I21" i="29"/>
  <c r="G15" i="28"/>
  <c r="I15" i="28" s="1"/>
  <c r="D36" i="16"/>
  <c r="D71" i="28"/>
  <c r="AF43" i="1"/>
  <c r="K41" i="16" s="1"/>
  <c r="D40" i="28"/>
  <c r="C34" i="29"/>
  <c r="C32" i="5"/>
  <c r="L26" i="5"/>
  <c r="H17" i="5"/>
  <c r="E24" i="28"/>
  <c r="AF18" i="1"/>
  <c r="G25" i="5"/>
  <c r="Q18" i="1"/>
  <c r="G17" i="16" s="1"/>
  <c r="AI20" i="1"/>
  <c r="F30" i="29"/>
  <c r="D19" i="16"/>
  <c r="P19" i="16" s="1"/>
  <c r="W20" i="1"/>
  <c r="K27" i="5" s="1"/>
  <c r="C17" i="29"/>
  <c r="C16" i="5"/>
  <c r="G15" i="5"/>
  <c r="E14" i="28"/>
  <c r="D14" i="28"/>
  <c r="AI9" i="1"/>
  <c r="W9" i="1"/>
  <c r="K15" i="5" s="1"/>
  <c r="E7" i="16"/>
  <c r="G13" i="29"/>
  <c r="E8" i="28"/>
  <c r="E3" i="16"/>
  <c r="D37" i="5"/>
  <c r="D40" i="29"/>
  <c r="E38" i="28"/>
  <c r="F38" i="28" s="1"/>
  <c r="AF30" i="1"/>
  <c r="K28" i="16" s="1"/>
  <c r="W30" i="1"/>
  <c r="I28" i="16" s="1"/>
  <c r="E33" i="28"/>
  <c r="F33" i="28" s="1"/>
  <c r="E25" i="16"/>
  <c r="G35" i="29"/>
  <c r="W26" i="1"/>
  <c r="K32" i="5" s="1"/>
  <c r="G33" i="5"/>
  <c r="AI26" i="1"/>
  <c r="L24" i="16" s="1"/>
  <c r="D26" i="16"/>
  <c r="D34" i="28"/>
  <c r="AI27" i="1"/>
  <c r="G33" i="28" s="1"/>
  <c r="Q27" i="1"/>
  <c r="I33" i="5" s="1"/>
  <c r="J39" i="5"/>
  <c r="W31" i="1"/>
  <c r="I29" i="16" s="1"/>
  <c r="E30" i="16"/>
  <c r="Q29" i="1"/>
  <c r="G27" i="16" s="1"/>
  <c r="F36" i="5"/>
  <c r="F39" i="29"/>
  <c r="D28" i="16"/>
  <c r="J30" i="5"/>
  <c r="G28" i="5"/>
  <c r="AI21" i="1"/>
  <c r="L20" i="16" s="1"/>
  <c r="E27" i="28"/>
  <c r="E20" i="16"/>
  <c r="W21" i="1"/>
  <c r="I20" i="16" s="1"/>
  <c r="M4" i="16"/>
  <c r="H9" i="28"/>
  <c r="G23" i="29"/>
  <c r="G22" i="29" s="1"/>
  <c r="L31" i="5"/>
  <c r="G27" i="5"/>
  <c r="E26" i="28"/>
  <c r="F26" i="28" s="1"/>
  <c r="L9" i="5"/>
  <c r="M41" i="16"/>
  <c r="H63" i="28"/>
  <c r="H25" i="5"/>
  <c r="E65" i="28"/>
  <c r="H37" i="5"/>
  <c r="D41" i="28"/>
  <c r="F41" i="28" s="1"/>
  <c r="L30" i="5"/>
  <c r="D11" i="16"/>
  <c r="AI11" i="1"/>
  <c r="G16" i="28" s="1"/>
  <c r="M22" i="16"/>
  <c r="H30" i="28"/>
  <c r="L26" i="16"/>
  <c r="I9" i="53"/>
  <c r="I32" i="5"/>
  <c r="Q32" i="5" s="1"/>
  <c r="G24" i="16"/>
  <c r="I34" i="29"/>
  <c r="G12" i="7"/>
  <c r="E40" i="28"/>
  <c r="F40" i="28" s="1"/>
  <c r="D27" i="28"/>
  <c r="D20" i="16"/>
  <c r="AF21" i="1"/>
  <c r="C18" i="5"/>
  <c r="C19" i="29"/>
  <c r="L17" i="5"/>
  <c r="H10" i="7"/>
  <c r="H7" i="7"/>
  <c r="H6" i="7" s="1"/>
  <c r="H7" i="5"/>
  <c r="C7" i="5"/>
  <c r="C8" i="29"/>
  <c r="AI4" i="1"/>
  <c r="G9" i="28" s="1"/>
  <c r="I9" i="28" s="1"/>
  <c r="D4" i="16"/>
  <c r="M36" i="16"/>
  <c r="H71" i="28"/>
  <c r="D21" i="5"/>
  <c r="D23" i="29"/>
  <c r="G21" i="5"/>
  <c r="E14" i="16"/>
  <c r="W14" i="1"/>
  <c r="I14" i="16" s="1"/>
  <c r="AF14" i="1"/>
  <c r="K14" i="16" s="1"/>
  <c r="AI14" i="1"/>
  <c r="Q14" i="1"/>
  <c r="I21" i="5" s="1"/>
  <c r="E13" i="16"/>
  <c r="AI13" i="1"/>
  <c r="L13" i="16" s="1"/>
  <c r="G19" i="5"/>
  <c r="D32" i="16"/>
  <c r="E19" i="28"/>
  <c r="F19" i="28" s="1"/>
  <c r="W4" i="1"/>
  <c r="I4" i="16" s="1"/>
  <c r="AF17" i="1"/>
  <c r="K16" i="16" s="1"/>
  <c r="D16" i="16"/>
  <c r="W13" i="1"/>
  <c r="I13" i="16" s="1"/>
  <c r="AI34" i="1"/>
  <c r="L31" i="16" s="1"/>
  <c r="F9" i="29"/>
  <c r="F29" i="29"/>
  <c r="M30" i="5"/>
  <c r="H24" i="5"/>
  <c r="C33" i="5"/>
  <c r="E34" i="16"/>
  <c r="C27" i="29"/>
  <c r="C24" i="5"/>
  <c r="J27" i="5"/>
  <c r="G26" i="5"/>
  <c r="E25" i="28"/>
  <c r="M37" i="16"/>
  <c r="H73" i="28"/>
  <c r="J73" i="28" s="1"/>
  <c r="M39" i="16"/>
  <c r="H38" i="28"/>
  <c r="M29" i="16"/>
  <c r="G65" i="28"/>
  <c r="L9" i="53"/>
  <c r="L6" i="53" s="1"/>
  <c r="L10" i="53" s="1"/>
  <c r="D65" i="28"/>
  <c r="D44" i="16"/>
  <c r="W48" i="1"/>
  <c r="K9" i="53" s="1"/>
  <c r="E76" i="28"/>
  <c r="AF44" i="1"/>
  <c r="K42" i="16" s="1"/>
  <c r="Q44" i="1"/>
  <c r="G11" i="7"/>
  <c r="E42" i="16"/>
  <c r="AI44" i="1"/>
  <c r="F7" i="7"/>
  <c r="W23" i="1"/>
  <c r="Q23" i="1"/>
  <c r="G21" i="16" s="1"/>
  <c r="D29" i="28"/>
  <c r="D21" i="16"/>
  <c r="AF23" i="1"/>
  <c r="F26" i="5"/>
  <c r="W19" i="1"/>
  <c r="I18" i="16"/>
  <c r="AI19" i="1"/>
  <c r="L18" i="16" s="1"/>
  <c r="AF19" i="1"/>
  <c r="K18" i="16" s="1"/>
  <c r="D18" i="16"/>
  <c r="L11" i="5"/>
  <c r="L10" i="5" s="1"/>
  <c r="E43" i="16"/>
  <c r="Q21" i="1"/>
  <c r="I28" i="5" s="1"/>
  <c r="D31" i="16"/>
  <c r="Q17" i="1"/>
  <c r="I24" i="5" s="1"/>
  <c r="D23" i="28"/>
  <c r="J8" i="53"/>
  <c r="F9" i="53"/>
  <c r="H7" i="53"/>
  <c r="W44" i="1"/>
  <c r="K11" i="7" s="1"/>
  <c r="AI45" i="1"/>
  <c r="F31" i="29"/>
  <c r="D9" i="28"/>
  <c r="F8" i="5"/>
  <c r="F6" i="5" s="1"/>
  <c r="Q33" i="1"/>
  <c r="I41" i="29" s="1"/>
  <c r="G5" i="16"/>
  <c r="H16" i="5"/>
  <c r="J31" i="5"/>
  <c r="E23" i="28"/>
  <c r="E16" i="16"/>
  <c r="G27" i="29"/>
  <c r="M16" i="16"/>
  <c r="H23" i="28"/>
  <c r="J13" i="5"/>
  <c r="E34" i="28"/>
  <c r="G35" i="5"/>
  <c r="E26" i="16"/>
  <c r="AF28" i="1"/>
  <c r="E20" i="28"/>
  <c r="G22" i="5"/>
  <c r="J26" i="5"/>
  <c r="D17" i="5"/>
  <c r="D18" i="29"/>
  <c r="AF10" i="1"/>
  <c r="Q10" i="1"/>
  <c r="G10" i="16" s="1"/>
  <c r="D12" i="29"/>
  <c r="D11" i="5"/>
  <c r="M35" i="16"/>
  <c r="H70" i="28"/>
  <c r="H26" i="28"/>
  <c r="M19" i="16"/>
  <c r="E28" i="16"/>
  <c r="G39" i="29"/>
  <c r="L25" i="16"/>
  <c r="G14" i="16"/>
  <c r="K26" i="5"/>
  <c r="K19" i="5"/>
  <c r="G18" i="28"/>
  <c r="I18" i="28" s="1"/>
  <c r="AI23" i="1"/>
  <c r="G29" i="28" s="1"/>
  <c r="E21" i="16"/>
  <c r="E29" i="28"/>
  <c r="F29" i="28" s="1"/>
  <c r="N44" i="51"/>
  <c r="N45" i="51" s="1"/>
  <c r="M44" i="51"/>
  <c r="M45" i="51" s="1"/>
  <c r="BD45" i="51"/>
  <c r="BY45" i="51"/>
  <c r="AZ45" i="51"/>
  <c r="AR45" i="51"/>
  <c r="BZ45" i="51"/>
  <c r="BN45" i="51"/>
  <c r="P45" i="51"/>
  <c r="CG45" i="51"/>
  <c r="CC45" i="51"/>
  <c r="BE45" i="51"/>
  <c r="BA45" i="51"/>
  <c r="BO45" i="51"/>
  <c r="BK45" i="51"/>
  <c r="CF45" i="51"/>
  <c r="BP45" i="51"/>
  <c r="BL45" i="51"/>
  <c r="BH45" i="51"/>
  <c r="AU45" i="51"/>
  <c r="AI45" i="51"/>
  <c r="CH45" i="51"/>
  <c r="CD45" i="51"/>
  <c r="BF45" i="51"/>
  <c r="BB45" i="51"/>
  <c r="AP45" i="51"/>
  <c r="AH45" i="51"/>
  <c r="AD45" i="51"/>
  <c r="V45" i="51"/>
  <c r="BU45" i="51"/>
  <c r="AL45" i="51"/>
  <c r="CB45" i="51"/>
  <c r="BT45" i="51"/>
  <c r="AV45" i="51"/>
  <c r="AK45" i="51"/>
  <c r="CE45" i="51"/>
  <c r="BW45" i="51"/>
  <c r="BC45" i="51"/>
  <c r="AJ45" i="51"/>
  <c r="AF45" i="51"/>
  <c r="T45" i="51"/>
  <c r="BQ45" i="51"/>
  <c r="AW45" i="51"/>
  <c r="BV45" i="51"/>
  <c r="BR45" i="51"/>
  <c r="BJ45" i="51"/>
  <c r="AX45" i="51"/>
  <c r="AT45" i="51"/>
  <c r="AM45" i="51"/>
  <c r="AE45" i="51"/>
  <c r="S45" i="51"/>
  <c r="O45" i="51"/>
  <c r="Z53" i="51"/>
  <c r="E31" i="28"/>
  <c r="F31" i="28" s="1"/>
  <c r="AI25" i="1"/>
  <c r="AF25" i="1"/>
  <c r="K23" i="16" s="1"/>
  <c r="G31" i="5"/>
  <c r="Q25" i="1"/>
  <c r="G23" i="16" s="1"/>
  <c r="W25" i="1"/>
  <c r="E23" i="16"/>
  <c r="G33" i="29"/>
  <c r="D33" i="29"/>
  <c r="D31" i="5"/>
  <c r="AF37" i="1"/>
  <c r="K34" i="16" s="1"/>
  <c r="AF34" i="1"/>
  <c r="K31" i="16" s="1"/>
  <c r="W34" i="1"/>
  <c r="E31" i="16"/>
  <c r="G7" i="7"/>
  <c r="G6" i="7" s="1"/>
  <c r="E41" i="28"/>
  <c r="E11" i="29"/>
  <c r="J27" i="28"/>
  <c r="J8" i="28"/>
  <c r="J24" i="28"/>
  <c r="N24" i="29"/>
  <c r="O24" i="29" s="1"/>
  <c r="Q24" i="29" s="1"/>
  <c r="F38" i="12"/>
  <c r="E6" i="7"/>
  <c r="C15" i="50" s="1"/>
  <c r="F15" i="50" s="1"/>
  <c r="E22" i="29"/>
  <c r="E20" i="5"/>
  <c r="N34" i="29"/>
  <c r="P34" i="29" s="1"/>
  <c r="F12" i="28"/>
  <c r="E7" i="29"/>
  <c r="L14" i="5"/>
  <c r="E14" i="5"/>
  <c r="E6" i="53"/>
  <c r="E10" i="53"/>
  <c r="F33" i="12" s="1"/>
  <c r="Q9" i="16"/>
  <c r="E23" i="5"/>
  <c r="F16" i="28"/>
  <c r="E54" i="29"/>
  <c r="P24" i="16"/>
  <c r="F24" i="28"/>
  <c r="E42" i="5"/>
  <c r="E6" i="5"/>
  <c r="O35" i="5"/>
  <c r="E34" i="5"/>
  <c r="E8" i="7"/>
  <c r="F43" i="12" s="1"/>
  <c r="F13" i="28"/>
  <c r="C66" i="28"/>
  <c r="O12" i="7"/>
  <c r="F22" i="29"/>
  <c r="H6" i="5"/>
  <c r="I9" i="29"/>
  <c r="G4" i="16"/>
  <c r="Q4" i="16" s="1"/>
  <c r="C22" i="28"/>
  <c r="E10" i="5"/>
  <c r="I31" i="5"/>
  <c r="Q31" i="5" s="1"/>
  <c r="I33" i="29"/>
  <c r="F23" i="28"/>
  <c r="I24" i="16"/>
  <c r="L9" i="16"/>
  <c r="G14" i="28"/>
  <c r="I14" i="28" s="1"/>
  <c r="F15" i="12"/>
  <c r="L22" i="16"/>
  <c r="G30" i="28"/>
  <c r="I30" i="28" s="1"/>
  <c r="M24" i="5"/>
  <c r="L37" i="16"/>
  <c r="L39" i="16"/>
  <c r="G19" i="16"/>
  <c r="I27" i="5"/>
  <c r="I30" i="29"/>
  <c r="N30" i="29" s="1"/>
  <c r="O30" i="29" s="1"/>
  <c r="C4" i="40"/>
  <c r="C5" i="40" s="1"/>
  <c r="E62" i="28"/>
  <c r="F62" i="28" s="1"/>
  <c r="W45" i="1"/>
  <c r="K12" i="7" s="1"/>
  <c r="J42" i="16"/>
  <c r="L11" i="7"/>
  <c r="AF6" i="1"/>
  <c r="D6" i="16"/>
  <c r="Q6" i="1"/>
  <c r="I12" i="29" s="1"/>
  <c r="F12" i="29"/>
  <c r="AI6" i="1"/>
  <c r="W6" i="1"/>
  <c r="K11" i="5" s="1"/>
  <c r="D11" i="28"/>
  <c r="F11" i="28" s="1"/>
  <c r="L15" i="16"/>
  <c r="I19" i="5"/>
  <c r="G12" i="16"/>
  <c r="I19" i="29"/>
  <c r="I18" i="5"/>
  <c r="Q18" i="5" s="1"/>
  <c r="G26" i="16"/>
  <c r="I36" i="29"/>
  <c r="G10" i="28"/>
  <c r="L5" i="16"/>
  <c r="G22" i="16"/>
  <c r="O22" i="16" s="1"/>
  <c r="I30" i="5"/>
  <c r="I39" i="16"/>
  <c r="S23" i="5"/>
  <c r="F22" i="16"/>
  <c r="H22" i="5"/>
  <c r="D19" i="29"/>
  <c r="D18" i="5"/>
  <c r="K37" i="16"/>
  <c r="K39" i="16"/>
  <c r="H32" i="16"/>
  <c r="H31" i="16"/>
  <c r="E35" i="28"/>
  <c r="F35" i="28" s="1"/>
  <c r="E27" i="16"/>
  <c r="G38" i="29"/>
  <c r="J21" i="5"/>
  <c r="J20" i="5" s="1"/>
  <c r="H14" i="16"/>
  <c r="F33" i="16"/>
  <c r="H33" i="5"/>
  <c r="E36" i="16"/>
  <c r="Q39" i="1"/>
  <c r="G36" i="16" s="1"/>
  <c r="G10" i="29"/>
  <c r="G9" i="5"/>
  <c r="J38" i="16"/>
  <c r="J40" i="16"/>
  <c r="F39" i="16"/>
  <c r="F37" i="16"/>
  <c r="L29" i="5"/>
  <c r="J21" i="16"/>
  <c r="Q50" i="29"/>
  <c r="J32" i="16"/>
  <c r="H38" i="16"/>
  <c r="H40" i="16"/>
  <c r="H18" i="5"/>
  <c r="F18" i="16"/>
  <c r="F40" i="16"/>
  <c r="N21" i="29"/>
  <c r="P21" i="29" s="1"/>
  <c r="N20" i="29"/>
  <c r="J37" i="16"/>
  <c r="J39" i="16"/>
  <c r="J69" i="28"/>
  <c r="F11" i="16"/>
  <c r="P27" i="5"/>
  <c r="F11" i="29"/>
  <c r="P31" i="5"/>
  <c r="G6" i="16"/>
  <c r="K12" i="5"/>
  <c r="M12" i="5"/>
  <c r="F17" i="28"/>
  <c r="J9" i="53"/>
  <c r="H44" i="16"/>
  <c r="F32" i="16"/>
  <c r="F31" i="16"/>
  <c r="J19" i="16"/>
  <c r="J21" i="28"/>
  <c r="F12" i="16"/>
  <c r="H12" i="7"/>
  <c r="H24" i="16"/>
  <c r="J32" i="5"/>
  <c r="J25" i="16"/>
  <c r="L33" i="5"/>
  <c r="H21" i="5"/>
  <c r="J9" i="16"/>
  <c r="J64" i="28"/>
  <c r="J43" i="16"/>
  <c r="H5" i="16"/>
  <c r="O4" i="16"/>
  <c r="G27" i="28"/>
  <c r="I27" i="28" s="1"/>
  <c r="K16" i="5"/>
  <c r="K5" i="16"/>
  <c r="K17" i="5"/>
  <c r="J4" i="16"/>
  <c r="L8" i="5"/>
  <c r="G20" i="5"/>
  <c r="O9" i="53"/>
  <c r="I27" i="29"/>
  <c r="Q30" i="5"/>
  <c r="M29" i="5"/>
  <c r="K21" i="16"/>
  <c r="L21" i="16"/>
  <c r="I31" i="29"/>
  <c r="G20" i="16"/>
  <c r="I9" i="16"/>
  <c r="I19" i="16"/>
  <c r="G71" i="28"/>
  <c r="L36" i="16"/>
  <c r="K12" i="16"/>
  <c r="M18" i="5"/>
  <c r="AF38" i="1"/>
  <c r="K35" i="16" s="1"/>
  <c r="W38" i="1"/>
  <c r="I35" i="16" s="1"/>
  <c r="AI36" i="1"/>
  <c r="G68" i="28" s="1"/>
  <c r="AF36" i="1"/>
  <c r="Q31" i="1"/>
  <c r="G40" i="29"/>
  <c r="AF31" i="1"/>
  <c r="AI31" i="1"/>
  <c r="G38" i="28" s="1"/>
  <c r="J20" i="16"/>
  <c r="L28" i="5"/>
  <c r="J16" i="16"/>
  <c r="L24" i="5"/>
  <c r="Q19" i="1"/>
  <c r="I29" i="29" s="1"/>
  <c r="E18" i="16"/>
  <c r="E37" i="28"/>
  <c r="F37" i="28" s="1"/>
  <c r="Q30" i="1"/>
  <c r="I37" i="5" s="1"/>
  <c r="G37" i="5"/>
  <c r="J15" i="16"/>
  <c r="L22" i="5"/>
  <c r="L20" i="5" s="1"/>
  <c r="I13" i="29"/>
  <c r="N13" i="29" s="1"/>
  <c r="P13" i="29" s="1"/>
  <c r="I12" i="5"/>
  <c r="C13" i="5"/>
  <c r="O43" i="29"/>
  <c r="W16" i="1"/>
  <c r="AI16" i="1"/>
  <c r="G21" i="28" s="1"/>
  <c r="D21" i="28"/>
  <c r="F21" i="28" s="1"/>
  <c r="Q16" i="1"/>
  <c r="I7" i="53"/>
  <c r="I12" i="16"/>
  <c r="K18" i="5"/>
  <c r="B8" i="6"/>
  <c r="J9" i="51"/>
  <c r="H45" i="51"/>
  <c r="J45" i="51"/>
  <c r="D8" i="5"/>
  <c r="D9" i="29"/>
  <c r="F38" i="16"/>
  <c r="J16" i="5"/>
  <c r="I26" i="5"/>
  <c r="G28" i="16"/>
  <c r="P28" i="16" s="1"/>
  <c r="F28" i="12"/>
  <c r="F29" i="12"/>
  <c r="O21" i="29"/>
  <c r="Q21" i="29" s="1"/>
  <c r="K32" i="16"/>
  <c r="G12" i="28"/>
  <c r="L7" i="16"/>
  <c r="M22" i="5"/>
  <c r="K22" i="5"/>
  <c r="K11" i="16"/>
  <c r="J44" i="51"/>
  <c r="R45" i="16" l="1"/>
  <c r="Q8" i="16"/>
  <c r="O8" i="16"/>
  <c r="P8" i="16"/>
  <c r="BS45" i="51"/>
  <c r="AO45" i="51"/>
  <c r="AC45" i="51"/>
  <c r="I29" i="5"/>
  <c r="G11" i="29"/>
  <c r="F14" i="28"/>
  <c r="C7" i="28"/>
  <c r="P43" i="29"/>
  <c r="C61" i="28"/>
  <c r="E15" i="29"/>
  <c r="C45" i="16"/>
  <c r="C49" i="16" s="1"/>
  <c r="AN45" i="51"/>
  <c r="L44" i="51"/>
  <c r="L45" i="51" s="1"/>
  <c r="F28" i="28"/>
  <c r="F37" i="29"/>
  <c r="Q26" i="5"/>
  <c r="N15" i="16"/>
  <c r="N18" i="29"/>
  <c r="M26" i="5"/>
  <c r="N26" i="5" s="1"/>
  <c r="F27" i="12"/>
  <c r="K37" i="5"/>
  <c r="K28" i="5"/>
  <c r="O34" i="29"/>
  <c r="Q34" i="29" s="1"/>
  <c r="M8" i="5"/>
  <c r="L11" i="16"/>
  <c r="I11" i="29"/>
  <c r="I14" i="29"/>
  <c r="O9" i="16"/>
  <c r="I28" i="29"/>
  <c r="G25" i="28"/>
  <c r="I25" i="28" s="1"/>
  <c r="F26" i="29"/>
  <c r="O31" i="16"/>
  <c r="F65" i="28"/>
  <c r="P27" i="16"/>
  <c r="P33" i="5"/>
  <c r="Q7" i="16"/>
  <c r="I22" i="5"/>
  <c r="D7" i="53"/>
  <c r="D37" i="16"/>
  <c r="AF47" i="1"/>
  <c r="W33" i="1"/>
  <c r="J40" i="28"/>
  <c r="H27" i="5"/>
  <c r="N27" i="5" s="1"/>
  <c r="BG45" i="51"/>
  <c r="CK45" i="51"/>
  <c r="AQ45" i="51"/>
  <c r="O9" i="5"/>
  <c r="O13" i="29"/>
  <c r="Q13" i="29" s="1"/>
  <c r="K30" i="5"/>
  <c r="N30" i="5" s="1"/>
  <c r="R30" i="5" s="1"/>
  <c r="Q8" i="5"/>
  <c r="Q6" i="5" s="1"/>
  <c r="I13" i="5"/>
  <c r="O13" i="5" s="1"/>
  <c r="I25" i="5"/>
  <c r="Q25" i="5" s="1"/>
  <c r="I10" i="29"/>
  <c r="J14" i="5"/>
  <c r="K35" i="5"/>
  <c r="G38" i="16"/>
  <c r="T13" i="53"/>
  <c r="O15" i="5"/>
  <c r="G23" i="28"/>
  <c r="I23" i="28" s="1"/>
  <c r="F37" i="12"/>
  <c r="F31" i="12"/>
  <c r="G16" i="16"/>
  <c r="I43" i="16"/>
  <c r="K38" i="5"/>
  <c r="I37" i="16"/>
  <c r="Q19" i="16"/>
  <c r="I7" i="7"/>
  <c r="I6" i="7" s="1"/>
  <c r="O31" i="5"/>
  <c r="I23" i="29"/>
  <c r="N23" i="29" s="1"/>
  <c r="P23" i="29" s="1"/>
  <c r="P22" i="29" s="1"/>
  <c r="K21" i="5"/>
  <c r="K20" i="5" s="1"/>
  <c r="F20" i="28"/>
  <c r="I17" i="5"/>
  <c r="G33" i="16"/>
  <c r="P33" i="16" s="1"/>
  <c r="F8" i="7"/>
  <c r="E74" i="28"/>
  <c r="G10" i="5"/>
  <c r="F15" i="28"/>
  <c r="G25" i="29"/>
  <c r="Q47" i="29"/>
  <c r="BI45" i="51"/>
  <c r="I11" i="7"/>
  <c r="G42" i="16"/>
  <c r="O42" i="16" s="1"/>
  <c r="L8" i="16"/>
  <c r="G13" i="28"/>
  <c r="I13" i="28" s="1"/>
  <c r="G24" i="28"/>
  <c r="I24" i="28" s="1"/>
  <c r="K24" i="28" s="1"/>
  <c r="L17" i="16"/>
  <c r="G42" i="29"/>
  <c r="Q38" i="1"/>
  <c r="E70" i="28"/>
  <c r="E66" i="28" s="1"/>
  <c r="E77" i="28" s="1"/>
  <c r="E41" i="16"/>
  <c r="E75" i="28"/>
  <c r="F75" i="28" s="1"/>
  <c r="W43" i="1"/>
  <c r="AI43" i="1"/>
  <c r="G75" i="28" s="1"/>
  <c r="I75" i="28" s="1"/>
  <c r="G10" i="7"/>
  <c r="N10" i="7" s="1"/>
  <c r="I25" i="16"/>
  <c r="K33" i="5"/>
  <c r="F71" i="28"/>
  <c r="W46" i="1"/>
  <c r="AF46" i="1"/>
  <c r="D63" i="28"/>
  <c r="F63" i="28" s="1"/>
  <c r="F61" i="28" s="1"/>
  <c r="AI46" i="1"/>
  <c r="G63" i="28" s="1"/>
  <c r="I63" i="28" s="1"/>
  <c r="K63" i="28" s="1"/>
  <c r="D38" i="16"/>
  <c r="D40" i="16"/>
  <c r="F8" i="53"/>
  <c r="O8" i="53" s="1"/>
  <c r="AF42" i="1"/>
  <c r="W42" i="1"/>
  <c r="D72" i="28"/>
  <c r="F7" i="53"/>
  <c r="F6" i="53" s="1"/>
  <c r="F10" i="53" s="1"/>
  <c r="W40" i="1"/>
  <c r="D33" i="16"/>
  <c r="D45" i="16" s="1"/>
  <c r="AI40" i="1"/>
  <c r="K20" i="28"/>
  <c r="E7" i="28"/>
  <c r="K17" i="16"/>
  <c r="M25" i="5"/>
  <c r="N25" i="5" s="1"/>
  <c r="O40" i="16"/>
  <c r="J74" i="28"/>
  <c r="O9" i="7"/>
  <c r="P35" i="5"/>
  <c r="P28" i="5"/>
  <c r="J13" i="28"/>
  <c r="N7" i="16"/>
  <c r="I12" i="28"/>
  <c r="I68" i="28"/>
  <c r="K68" i="28" s="1"/>
  <c r="I38" i="28"/>
  <c r="Q28" i="5"/>
  <c r="O19" i="16"/>
  <c r="H39" i="16"/>
  <c r="I10" i="28"/>
  <c r="N19" i="29"/>
  <c r="M33" i="5"/>
  <c r="N33" i="5" s="1"/>
  <c r="AF45" i="1"/>
  <c r="K43" i="16" s="1"/>
  <c r="K13" i="5"/>
  <c r="M19" i="5"/>
  <c r="J25" i="28"/>
  <c r="J22" i="28" s="1"/>
  <c r="P40" i="16"/>
  <c r="O17" i="5"/>
  <c r="N28" i="29"/>
  <c r="O28" i="29" s="1"/>
  <c r="P9" i="7"/>
  <c r="J63" i="28"/>
  <c r="J67" i="28"/>
  <c r="J66" i="28" s="1"/>
  <c r="J26" i="28"/>
  <c r="N13" i="5"/>
  <c r="Q46" i="1"/>
  <c r="G32" i="16"/>
  <c r="J30" i="28"/>
  <c r="K30" i="28" s="1"/>
  <c r="J9" i="28"/>
  <c r="K9" i="28" s="1"/>
  <c r="I33" i="28"/>
  <c r="K33" i="28" s="1"/>
  <c r="J31" i="28"/>
  <c r="J37" i="28"/>
  <c r="K37" i="28" s="1"/>
  <c r="I73" i="28"/>
  <c r="K73" i="28" s="1"/>
  <c r="AI42" i="1"/>
  <c r="K30" i="16"/>
  <c r="M39" i="5"/>
  <c r="Q11" i="16"/>
  <c r="G37" i="16"/>
  <c r="I9" i="7"/>
  <c r="D74" i="28"/>
  <c r="F74" i="28" s="1"/>
  <c r="E15" i="50"/>
  <c r="D15" i="50" s="1"/>
  <c r="O32" i="5"/>
  <c r="P32" i="5"/>
  <c r="E26" i="29"/>
  <c r="H42" i="16"/>
  <c r="Q46" i="29"/>
  <c r="L6" i="5"/>
  <c r="N12" i="7"/>
  <c r="H20" i="5"/>
  <c r="J6" i="53"/>
  <c r="J10" i="53" s="1"/>
  <c r="Q9" i="5"/>
  <c r="I11" i="5"/>
  <c r="P11" i="5" s="1"/>
  <c r="P12" i="16"/>
  <c r="I20" i="5"/>
  <c r="O12" i="5"/>
  <c r="I21" i="28"/>
  <c r="K21" i="28" s="1"/>
  <c r="Q12" i="5"/>
  <c r="I71" i="28"/>
  <c r="O11" i="16"/>
  <c r="N31" i="29"/>
  <c r="P31" i="29" s="1"/>
  <c r="O25" i="5"/>
  <c r="P4" i="16"/>
  <c r="P9" i="53"/>
  <c r="P25" i="5"/>
  <c r="I30" i="16"/>
  <c r="N12" i="29"/>
  <c r="P30" i="5"/>
  <c r="N9" i="5"/>
  <c r="R9" i="5" s="1"/>
  <c r="P8" i="53"/>
  <c r="J68" i="28"/>
  <c r="N36" i="29"/>
  <c r="O36" i="29" s="1"/>
  <c r="Q12" i="16"/>
  <c r="Q45" i="1"/>
  <c r="O27" i="5"/>
  <c r="I35" i="29"/>
  <c r="N35" i="29" s="1"/>
  <c r="P5" i="16"/>
  <c r="Q40" i="16"/>
  <c r="N7" i="53"/>
  <c r="N9" i="7"/>
  <c r="N8" i="7" s="1"/>
  <c r="N13" i="7" s="1"/>
  <c r="H61" i="28"/>
  <c r="J19" i="28"/>
  <c r="J23" i="28"/>
  <c r="K23" i="28" s="1"/>
  <c r="J29" i="28"/>
  <c r="K29" i="28" s="1"/>
  <c r="J70" i="28"/>
  <c r="Q10" i="16"/>
  <c r="P11" i="7"/>
  <c r="I44" i="16"/>
  <c r="N44" i="16" s="1"/>
  <c r="J38" i="28"/>
  <c r="F27" i="28"/>
  <c r="D22" i="28"/>
  <c r="G8" i="28"/>
  <c r="I8" i="28" s="1"/>
  <c r="K8" i="28" s="1"/>
  <c r="I64" i="28"/>
  <c r="F8" i="28"/>
  <c r="I3" i="16"/>
  <c r="K7" i="5"/>
  <c r="N7" i="5" s="1"/>
  <c r="AI38" i="1"/>
  <c r="E35" i="16"/>
  <c r="Q43" i="1"/>
  <c r="J15" i="28"/>
  <c r="K15" i="28" s="1"/>
  <c r="F25" i="29"/>
  <c r="I17" i="16"/>
  <c r="J76" i="28"/>
  <c r="AI37" i="1"/>
  <c r="W37" i="1"/>
  <c r="I34" i="16" s="1"/>
  <c r="D69" i="28"/>
  <c r="F69" i="28" s="1"/>
  <c r="H32" i="5"/>
  <c r="H31" i="5"/>
  <c r="H23" i="5" s="1"/>
  <c r="G41" i="29"/>
  <c r="N41" i="29" s="1"/>
  <c r="AF33" i="1"/>
  <c r="AI33" i="1"/>
  <c r="G40" i="28" s="1"/>
  <c r="I40" i="28" s="1"/>
  <c r="D39" i="28"/>
  <c r="AI32" i="1"/>
  <c r="Q32" i="1"/>
  <c r="F39" i="5"/>
  <c r="D7" i="28"/>
  <c r="J32" i="28"/>
  <c r="I29" i="28"/>
  <c r="P14" i="16"/>
  <c r="O28" i="5"/>
  <c r="O13" i="16"/>
  <c r="Q24" i="16"/>
  <c r="J41" i="28"/>
  <c r="F10" i="5"/>
  <c r="J34" i="28"/>
  <c r="J35" i="28"/>
  <c r="I34" i="28"/>
  <c r="K34" i="28" s="1"/>
  <c r="Q44" i="29"/>
  <c r="Q43" i="29" s="1"/>
  <c r="F68" i="28"/>
  <c r="N14" i="29"/>
  <c r="P14" i="29" s="1"/>
  <c r="E13" i="7"/>
  <c r="F7" i="8" s="1"/>
  <c r="F6" i="8" s="1"/>
  <c r="G6" i="8" s="1"/>
  <c r="H6" i="8" s="1"/>
  <c r="Q35" i="5"/>
  <c r="I65" i="28"/>
  <c r="J71" i="28"/>
  <c r="I16" i="28"/>
  <c r="F34" i="5"/>
  <c r="Q15" i="5"/>
  <c r="I67" i="28"/>
  <c r="G6" i="53"/>
  <c r="G10" i="53" s="1"/>
  <c r="J12" i="28"/>
  <c r="J14" i="28"/>
  <c r="K14" i="28" s="1"/>
  <c r="I35" i="28"/>
  <c r="J65" i="28"/>
  <c r="J11" i="28"/>
  <c r="J18" i="28"/>
  <c r="K18" i="28" s="1"/>
  <c r="Q45" i="29"/>
  <c r="F72" i="28"/>
  <c r="S7" i="16"/>
  <c r="U7" i="16" s="1"/>
  <c r="N22" i="5"/>
  <c r="O14" i="29"/>
  <c r="Q14" i="29" s="1"/>
  <c r="E36" i="28"/>
  <c r="I17" i="29"/>
  <c r="J10" i="5"/>
  <c r="K29" i="16"/>
  <c r="M38" i="5"/>
  <c r="N19" i="5"/>
  <c r="O19" i="5"/>
  <c r="P6" i="16"/>
  <c r="O6" i="16"/>
  <c r="F39" i="12"/>
  <c r="K31" i="5"/>
  <c r="I23" i="16"/>
  <c r="J45" i="16"/>
  <c r="J28" i="28"/>
  <c r="K28" i="28" s="1"/>
  <c r="H22" i="28"/>
  <c r="K14" i="5"/>
  <c r="O23" i="16"/>
  <c r="Q23" i="16"/>
  <c r="P24" i="5"/>
  <c r="Q24" i="5"/>
  <c r="O24" i="5"/>
  <c r="N11" i="7"/>
  <c r="O11" i="7"/>
  <c r="O27" i="16"/>
  <c r="Q27" i="16"/>
  <c r="H7" i="28"/>
  <c r="J10" i="28"/>
  <c r="K10" i="28" s="1"/>
  <c r="Q11" i="5"/>
  <c r="P20" i="29"/>
  <c r="O20" i="29"/>
  <c r="Q20" i="29" s="1"/>
  <c r="O17" i="16"/>
  <c r="Q17" i="16"/>
  <c r="P17" i="16"/>
  <c r="F13" i="8"/>
  <c r="F12" i="8" s="1"/>
  <c r="C14" i="50"/>
  <c r="H14" i="50" s="1"/>
  <c r="G14" i="50" s="1"/>
  <c r="F35" i="12"/>
  <c r="F11" i="8"/>
  <c r="F10" i="8" s="1"/>
  <c r="F25" i="12"/>
  <c r="F24" i="12" s="1"/>
  <c r="F34" i="12"/>
  <c r="F6" i="7"/>
  <c r="P7" i="7"/>
  <c r="P6" i="7" s="1"/>
  <c r="O7" i="7"/>
  <c r="O6" i="7" s="1"/>
  <c r="O8" i="5"/>
  <c r="P8" i="5"/>
  <c r="F18" i="28"/>
  <c r="J6" i="5"/>
  <c r="J40" i="5" s="1"/>
  <c r="R25" i="5"/>
  <c r="Q21" i="16"/>
  <c r="J23" i="5"/>
  <c r="N11" i="16"/>
  <c r="I38" i="29"/>
  <c r="N38" i="29" s="1"/>
  <c r="K8" i="5"/>
  <c r="K75" i="28"/>
  <c r="K25" i="28"/>
  <c r="G32" i="28"/>
  <c r="I32" i="28" s="1"/>
  <c r="M37" i="5"/>
  <c r="P7" i="16"/>
  <c r="L41" i="16"/>
  <c r="C25" i="29"/>
  <c r="AF48" i="1"/>
  <c r="K44" i="16" s="1"/>
  <c r="L29" i="16"/>
  <c r="Q37" i="5"/>
  <c r="M21" i="5"/>
  <c r="M20" i="5" s="1"/>
  <c r="G25" i="16"/>
  <c r="O25" i="16" s="1"/>
  <c r="I36" i="5"/>
  <c r="Q36" i="5" s="1"/>
  <c r="N9" i="29"/>
  <c r="C77" i="28"/>
  <c r="P11" i="16"/>
  <c r="F7" i="29"/>
  <c r="O24" i="16"/>
  <c r="P24" i="29"/>
  <c r="H6" i="53"/>
  <c r="H10" i="53" s="1"/>
  <c r="K8" i="16"/>
  <c r="N8" i="16" s="1"/>
  <c r="N32" i="29"/>
  <c r="P12" i="7"/>
  <c r="E37" i="29"/>
  <c r="E52" i="29" s="1"/>
  <c r="L7" i="7"/>
  <c r="L6" i="7" s="1"/>
  <c r="L13" i="7" s="1"/>
  <c r="W17" i="1"/>
  <c r="F9" i="16"/>
  <c r="N9" i="16" s="1"/>
  <c r="S9" i="16" s="1"/>
  <c r="U9" i="16" s="1"/>
  <c r="N27" i="29"/>
  <c r="P27" i="29" s="1"/>
  <c r="F52" i="29"/>
  <c r="D61" i="28"/>
  <c r="H34" i="5"/>
  <c r="N16" i="29"/>
  <c r="O16" i="29" s="1"/>
  <c r="F10" i="28"/>
  <c r="M24" i="16"/>
  <c r="P28" i="29"/>
  <c r="N29" i="29"/>
  <c r="O31" i="29"/>
  <c r="Q31" i="29" s="1"/>
  <c r="N37" i="5"/>
  <c r="P26" i="5"/>
  <c r="O28" i="16"/>
  <c r="S28" i="16" s="1"/>
  <c r="U28" i="16" s="1"/>
  <c r="P21" i="16"/>
  <c r="G18" i="16"/>
  <c r="N18" i="16" s="1"/>
  <c r="N7" i="7"/>
  <c r="N6" i="7" s="1"/>
  <c r="I6" i="16"/>
  <c r="K27" i="28"/>
  <c r="P30" i="29"/>
  <c r="Q30" i="29" s="1"/>
  <c r="E61" i="28"/>
  <c r="H66" i="28"/>
  <c r="H77" i="28" s="1"/>
  <c r="L4" i="16"/>
  <c r="N4" i="16" s="1"/>
  <c r="S4" i="16" s="1"/>
  <c r="U4" i="16" s="1"/>
  <c r="M11" i="7"/>
  <c r="N28" i="16"/>
  <c r="G34" i="5"/>
  <c r="F30" i="12"/>
  <c r="Q28" i="16"/>
  <c r="I39" i="29"/>
  <c r="N39" i="29" s="1"/>
  <c r="O39" i="29" s="1"/>
  <c r="N18" i="5"/>
  <c r="F41" i="12"/>
  <c r="M31" i="5"/>
  <c r="P23" i="16"/>
  <c r="O12" i="16"/>
  <c r="F34" i="28"/>
  <c r="F9" i="28"/>
  <c r="I21" i="16"/>
  <c r="N21" i="16" s="1"/>
  <c r="K29" i="5"/>
  <c r="N29" i="5" s="1"/>
  <c r="Q6" i="16"/>
  <c r="G31" i="28"/>
  <c r="I31" i="28" s="1"/>
  <c r="K31" i="28" s="1"/>
  <c r="L23" i="16"/>
  <c r="G41" i="28"/>
  <c r="I41" i="28" s="1"/>
  <c r="K41" i="28" s="1"/>
  <c r="L32" i="16"/>
  <c r="Q15" i="16"/>
  <c r="O15" i="16"/>
  <c r="P15" i="16"/>
  <c r="G17" i="28"/>
  <c r="I17" i="28" s="1"/>
  <c r="K17" i="28" s="1"/>
  <c r="I8" i="53"/>
  <c r="K24" i="16"/>
  <c r="N24" i="16" s="1"/>
  <c r="S24" i="16" s="1"/>
  <c r="U24" i="16" s="1"/>
  <c r="K19" i="16"/>
  <c r="F73" i="28"/>
  <c r="N12" i="16"/>
  <c r="H14" i="5"/>
  <c r="J34" i="5"/>
  <c r="F30" i="28"/>
  <c r="C36" i="28"/>
  <c r="C42" i="28" s="1"/>
  <c r="I22" i="29"/>
  <c r="K32" i="28"/>
  <c r="M7" i="5"/>
  <c r="M6" i="5" s="1"/>
  <c r="M15" i="5"/>
  <c r="N15" i="5" s="1"/>
  <c r="O29" i="5"/>
  <c r="L19" i="16"/>
  <c r="G26" i="28"/>
  <c r="G3" i="16"/>
  <c r="I7" i="5"/>
  <c r="L11" i="50" s="1"/>
  <c r="I8" i="29"/>
  <c r="P16" i="29"/>
  <c r="O32" i="29"/>
  <c r="P32" i="29"/>
  <c r="Q25" i="16"/>
  <c r="P25" i="16"/>
  <c r="P29" i="5"/>
  <c r="G37" i="29"/>
  <c r="N10" i="29"/>
  <c r="G7" i="29"/>
  <c r="P18" i="16"/>
  <c r="O18" i="16"/>
  <c r="Q18" i="16"/>
  <c r="M9" i="7"/>
  <c r="H8" i="7"/>
  <c r="H13" i="7" s="1"/>
  <c r="M45" i="16"/>
  <c r="Q33" i="16"/>
  <c r="G30" i="16"/>
  <c r="I39" i="5"/>
  <c r="K16" i="28"/>
  <c r="J7" i="28"/>
  <c r="G42" i="5"/>
  <c r="G6" i="5"/>
  <c r="G29" i="16"/>
  <c r="I38" i="5"/>
  <c r="P20" i="16"/>
  <c r="Q20" i="16"/>
  <c r="O20" i="16"/>
  <c r="N5" i="16"/>
  <c r="H45" i="16"/>
  <c r="G11" i="28"/>
  <c r="L6" i="16"/>
  <c r="M11" i="5"/>
  <c r="K6" i="16"/>
  <c r="Q29" i="5"/>
  <c r="J8" i="7"/>
  <c r="J13" i="7" s="1"/>
  <c r="P39" i="29"/>
  <c r="H15" i="50"/>
  <c r="G15" i="50" s="1"/>
  <c r="I40" i="29"/>
  <c r="O27" i="29"/>
  <c r="P12" i="29"/>
  <c r="P11" i="29" s="1"/>
  <c r="O12" i="29"/>
  <c r="N11" i="29"/>
  <c r="N22" i="16"/>
  <c r="G76" i="28"/>
  <c r="L42" i="16"/>
  <c r="P44" i="16"/>
  <c r="O44" i="16"/>
  <c r="Q44" i="16"/>
  <c r="P21" i="5"/>
  <c r="O21" i="5"/>
  <c r="Q21" i="5"/>
  <c r="K20" i="16"/>
  <c r="N20" i="16" s="1"/>
  <c r="M28" i="5"/>
  <c r="P12" i="5"/>
  <c r="N12" i="5"/>
  <c r="I10" i="5"/>
  <c r="O37" i="5"/>
  <c r="P37" i="5"/>
  <c r="L23" i="5"/>
  <c r="O21" i="16"/>
  <c r="F23" i="5"/>
  <c r="I23" i="5"/>
  <c r="O26" i="5"/>
  <c r="F45" i="16"/>
  <c r="K64" i="28"/>
  <c r="J61" i="28"/>
  <c r="I31" i="16"/>
  <c r="N31" i="16" s="1"/>
  <c r="K7" i="7"/>
  <c r="I32" i="16"/>
  <c r="K10" i="16"/>
  <c r="N10" i="16" s="1"/>
  <c r="M16" i="5"/>
  <c r="K26" i="16"/>
  <c r="N26" i="16" s="1"/>
  <c r="M35" i="5"/>
  <c r="O26" i="16"/>
  <c r="O5" i="16"/>
  <c r="Q5" i="16"/>
  <c r="L43" i="16"/>
  <c r="G62" i="28"/>
  <c r="K65" i="28"/>
  <c r="G19" i="28"/>
  <c r="I19" i="28" s="1"/>
  <c r="K19" i="28" s="1"/>
  <c r="L14" i="16"/>
  <c r="N14" i="16" s="1"/>
  <c r="N32" i="5"/>
  <c r="R32" i="5" s="1"/>
  <c r="Q26" i="16"/>
  <c r="O18" i="5"/>
  <c r="P18" i="5"/>
  <c r="K10" i="5"/>
  <c r="Q13" i="5"/>
  <c r="P13" i="5"/>
  <c r="O33" i="5"/>
  <c r="Q33" i="5"/>
  <c r="F46" i="12"/>
  <c r="F45" i="12"/>
  <c r="F25" i="28"/>
  <c r="E22" i="28"/>
  <c r="E42" i="28" s="1"/>
  <c r="P15" i="5"/>
  <c r="G14" i="5"/>
  <c r="N8" i="5"/>
  <c r="M9" i="53"/>
  <c r="P26" i="16"/>
  <c r="Q22" i="16"/>
  <c r="P22" i="16"/>
  <c r="P36" i="29"/>
  <c r="Q19" i="5"/>
  <c r="P19" i="5"/>
  <c r="E40" i="5"/>
  <c r="N33" i="29"/>
  <c r="O14" i="16"/>
  <c r="Q14" i="16"/>
  <c r="P10" i="16"/>
  <c r="O10" i="16"/>
  <c r="P13" i="16"/>
  <c r="Q13" i="16"/>
  <c r="N13" i="16"/>
  <c r="Q27" i="5"/>
  <c r="G23" i="5"/>
  <c r="G26" i="29"/>
  <c r="N9" i="53"/>
  <c r="F44" i="12"/>
  <c r="P31" i="16"/>
  <c r="I16" i="5"/>
  <c r="I42" i="16"/>
  <c r="Q31" i="16"/>
  <c r="K35" i="28"/>
  <c r="L27" i="16"/>
  <c r="N27" i="16" s="1"/>
  <c r="G39" i="16"/>
  <c r="K14" i="50" l="1"/>
  <c r="J14" i="50"/>
  <c r="O35" i="29"/>
  <c r="P35" i="29"/>
  <c r="O16" i="16"/>
  <c r="P16" i="16"/>
  <c r="Q16" i="16"/>
  <c r="R8" i="5"/>
  <c r="O33" i="16"/>
  <c r="O22" i="5"/>
  <c r="Q22" i="5"/>
  <c r="Q20" i="5" s="1"/>
  <c r="P22" i="5"/>
  <c r="O18" i="29"/>
  <c r="P18" i="29"/>
  <c r="F22" i="28"/>
  <c r="P36" i="5"/>
  <c r="K67" i="28"/>
  <c r="N31" i="5"/>
  <c r="R31" i="5" s="1"/>
  <c r="F47" i="12"/>
  <c r="O11" i="5"/>
  <c r="O10" i="5" s="1"/>
  <c r="M14" i="5"/>
  <c r="O20" i="5"/>
  <c r="N25" i="16"/>
  <c r="I37" i="29"/>
  <c r="I34" i="5"/>
  <c r="D66" i="28"/>
  <c r="D77" i="28" s="1"/>
  <c r="P23" i="5"/>
  <c r="F40" i="12"/>
  <c r="I26" i="29"/>
  <c r="K6" i="5"/>
  <c r="N17" i="16"/>
  <c r="E45" i="16"/>
  <c r="P10" i="7"/>
  <c r="P8" i="7" s="1"/>
  <c r="P13" i="7" s="1"/>
  <c r="O10" i="7"/>
  <c r="O8" i="7" s="1"/>
  <c r="O13" i="7" s="1"/>
  <c r="P17" i="5"/>
  <c r="Q17" i="5"/>
  <c r="Q42" i="16"/>
  <c r="P42" i="16"/>
  <c r="S27" i="16"/>
  <c r="U27" i="16" s="1"/>
  <c r="R27" i="5"/>
  <c r="N26" i="29"/>
  <c r="J36" i="28"/>
  <c r="J42" i="28" s="1"/>
  <c r="Q10" i="5"/>
  <c r="M23" i="5"/>
  <c r="P20" i="5"/>
  <c r="F70" i="28"/>
  <c r="N23" i="16"/>
  <c r="S23" i="16" s="1"/>
  <c r="U23" i="16" s="1"/>
  <c r="F7" i="28"/>
  <c r="T16" i="7"/>
  <c r="F9" i="8"/>
  <c r="F8" i="8" s="1"/>
  <c r="S8" i="16"/>
  <c r="U8" i="16" s="1"/>
  <c r="F13" i="7"/>
  <c r="G8" i="7"/>
  <c r="G13" i="7" s="1"/>
  <c r="R22" i="5"/>
  <c r="N25" i="29"/>
  <c r="K34" i="5"/>
  <c r="N17" i="5"/>
  <c r="R17" i="5" s="1"/>
  <c r="P25" i="29"/>
  <c r="O25" i="29"/>
  <c r="O41" i="29"/>
  <c r="P41" i="29"/>
  <c r="F66" i="28"/>
  <c r="F77" i="28" s="1"/>
  <c r="Q11" i="7"/>
  <c r="L30" i="16"/>
  <c r="N30" i="16" s="1"/>
  <c r="G39" i="28"/>
  <c r="G70" i="28"/>
  <c r="I70" i="28" s="1"/>
  <c r="K70" i="28" s="1"/>
  <c r="L35" i="16"/>
  <c r="K71" i="28"/>
  <c r="K8" i="53"/>
  <c r="M8" i="53" s="1"/>
  <c r="Q8" i="53" s="1"/>
  <c r="I38" i="16"/>
  <c r="I45" i="16" s="1"/>
  <c r="I40" i="16"/>
  <c r="I41" i="16"/>
  <c r="K10" i="7"/>
  <c r="K8" i="7" s="1"/>
  <c r="G35" i="16"/>
  <c r="G45" i="16" s="1"/>
  <c r="I42" i="29"/>
  <c r="N42" i="29" s="1"/>
  <c r="K13" i="28"/>
  <c r="S17" i="16"/>
  <c r="U17" i="16" s="1"/>
  <c r="D36" i="28"/>
  <c r="D42" i="28" s="1"/>
  <c r="F39" i="28"/>
  <c r="F36" i="28" s="1"/>
  <c r="G69" i="28"/>
  <c r="I69" i="28" s="1"/>
  <c r="K69" i="28" s="1"/>
  <c r="L34" i="16"/>
  <c r="G43" i="16"/>
  <c r="I12" i="7"/>
  <c r="M12" i="7" s="1"/>
  <c r="Q12" i="7" s="1"/>
  <c r="G74" i="28"/>
  <c r="I74" i="28" s="1"/>
  <c r="K74" i="28" s="1"/>
  <c r="L38" i="16"/>
  <c r="L40" i="16"/>
  <c r="N8" i="53"/>
  <c r="P19" i="29"/>
  <c r="O19" i="29"/>
  <c r="K7" i="53"/>
  <c r="K6" i="53" s="1"/>
  <c r="K10" i="53" s="1"/>
  <c r="I33" i="16"/>
  <c r="K40" i="16"/>
  <c r="K38" i="16"/>
  <c r="K45" i="16" s="1"/>
  <c r="N39" i="28"/>
  <c r="K40" i="28"/>
  <c r="G41" i="16"/>
  <c r="I10" i="7"/>
  <c r="K12" i="28"/>
  <c r="O7" i="53"/>
  <c r="O6" i="53" s="1"/>
  <c r="O10" i="53" s="1"/>
  <c r="P7" i="53"/>
  <c r="P6" i="53" s="1"/>
  <c r="P10" i="53" s="1"/>
  <c r="N6" i="53"/>
  <c r="N10" i="53" s="1"/>
  <c r="N43" i="16"/>
  <c r="F42" i="28"/>
  <c r="K38" i="28"/>
  <c r="G72" i="28"/>
  <c r="I72" i="28" s="1"/>
  <c r="K72" i="28" s="1"/>
  <c r="L33" i="16"/>
  <c r="L45" i="16" s="1"/>
  <c r="S25" i="16"/>
  <c r="U25" i="16" s="1"/>
  <c r="S15" i="16"/>
  <c r="U15" i="16" s="1"/>
  <c r="N21" i="5"/>
  <c r="N20" i="5" s="1"/>
  <c r="S11" i="16"/>
  <c r="U11" i="16" s="1"/>
  <c r="F14" i="50"/>
  <c r="E14" i="50"/>
  <c r="R12" i="5"/>
  <c r="N19" i="16"/>
  <c r="S19" i="16" s="1"/>
  <c r="U19" i="16" s="1"/>
  <c r="S12" i="16"/>
  <c r="U12" i="16" s="1"/>
  <c r="F36" i="12"/>
  <c r="G24" i="12" s="1"/>
  <c r="I24" i="12" s="1"/>
  <c r="I16" i="16"/>
  <c r="N16" i="16" s="1"/>
  <c r="S16" i="16" s="1"/>
  <c r="U16" i="16" s="1"/>
  <c r="K24" i="5"/>
  <c r="O23" i="29"/>
  <c r="O22" i="29" s="1"/>
  <c r="N22" i="29"/>
  <c r="Q35" i="29"/>
  <c r="P9" i="29"/>
  <c r="O9" i="29"/>
  <c r="Q9" i="29" s="1"/>
  <c r="N17" i="29"/>
  <c r="I15" i="29"/>
  <c r="Q28" i="29"/>
  <c r="N36" i="5"/>
  <c r="O36" i="5"/>
  <c r="P38" i="29"/>
  <c r="O38" i="29"/>
  <c r="H42" i="28"/>
  <c r="F42" i="12"/>
  <c r="R33" i="5"/>
  <c r="S21" i="16"/>
  <c r="U21" i="16" s="1"/>
  <c r="Q41" i="29"/>
  <c r="O29" i="29"/>
  <c r="P29" i="29"/>
  <c r="R19" i="5"/>
  <c r="R13" i="5"/>
  <c r="P10" i="5"/>
  <c r="G52" i="29"/>
  <c r="S14" i="16"/>
  <c r="U14" i="16" s="1"/>
  <c r="S13" i="16"/>
  <c r="U13" i="16" s="1"/>
  <c r="S31" i="16"/>
  <c r="U31" i="16" s="1"/>
  <c r="Q36" i="29"/>
  <c r="S26" i="16"/>
  <c r="U26" i="16" s="1"/>
  <c r="S18" i="16"/>
  <c r="U18" i="16" s="1"/>
  <c r="I6" i="53"/>
  <c r="I10" i="53" s="1"/>
  <c r="Q12" i="29"/>
  <c r="Q11" i="29" s="1"/>
  <c r="O11" i="29"/>
  <c r="F40" i="5"/>
  <c r="I76" i="28"/>
  <c r="Q27" i="29"/>
  <c r="K15" i="50"/>
  <c r="J15" i="50"/>
  <c r="I11" i="28"/>
  <c r="G7" i="28"/>
  <c r="S20" i="16"/>
  <c r="U20" i="16" s="1"/>
  <c r="P38" i="5"/>
  <c r="O38" i="5"/>
  <c r="Q38" i="5"/>
  <c r="N38" i="5"/>
  <c r="O30" i="16"/>
  <c r="P30" i="16"/>
  <c r="Q30" i="16"/>
  <c r="P10" i="29"/>
  <c r="O10" i="29"/>
  <c r="Q32" i="29"/>
  <c r="N8" i="29"/>
  <c r="I7" i="29"/>
  <c r="M34" i="5"/>
  <c r="N35" i="5"/>
  <c r="Q39" i="29"/>
  <c r="N6" i="5"/>
  <c r="P39" i="16"/>
  <c r="Q39" i="16"/>
  <c r="O39" i="16"/>
  <c r="N39" i="16"/>
  <c r="F14" i="12"/>
  <c r="F3" i="12"/>
  <c r="I62" i="28"/>
  <c r="G61" i="28"/>
  <c r="K6" i="7"/>
  <c r="M7" i="7"/>
  <c r="Q23" i="5"/>
  <c r="S22" i="16"/>
  <c r="U22" i="16" s="1"/>
  <c r="R37" i="5"/>
  <c r="N6" i="16"/>
  <c r="S6" i="16" s="1"/>
  <c r="U6" i="16" s="1"/>
  <c r="N28" i="5"/>
  <c r="R28" i="5" s="1"/>
  <c r="P29" i="16"/>
  <c r="N29" i="16"/>
  <c r="Q29" i="16"/>
  <c r="O29" i="16"/>
  <c r="G40" i="5"/>
  <c r="N40" i="29"/>
  <c r="V7" i="5"/>
  <c r="V8" i="5" s="1"/>
  <c r="V9" i="5" s="1"/>
  <c r="W43" i="5"/>
  <c r="W44" i="5" s="1"/>
  <c r="I42" i="5"/>
  <c r="O7" i="5"/>
  <c r="O6" i="5" s="1"/>
  <c r="P7" i="5"/>
  <c r="P6" i="5" s="1"/>
  <c r="U7" i="5"/>
  <c r="I6" i="5"/>
  <c r="I14" i="5"/>
  <c r="O16" i="5"/>
  <c r="O14" i="5" s="1"/>
  <c r="Q16" i="5"/>
  <c r="Q14" i="5" s="1"/>
  <c r="N16" i="5"/>
  <c r="P16" i="5"/>
  <c r="P14" i="5" s="1"/>
  <c r="R26" i="5"/>
  <c r="N39" i="5"/>
  <c r="Q39" i="5"/>
  <c r="O39" i="5"/>
  <c r="P39" i="5"/>
  <c r="G22" i="28"/>
  <c r="I26" i="28"/>
  <c r="J77" i="28"/>
  <c r="S44" i="16"/>
  <c r="U44" i="16" s="1"/>
  <c r="N42" i="16"/>
  <c r="S42" i="16" s="1"/>
  <c r="U42" i="16" s="1"/>
  <c r="P33" i="29"/>
  <c r="O33" i="29"/>
  <c r="Q9" i="53"/>
  <c r="R18" i="5"/>
  <c r="Q23" i="29"/>
  <c r="Q22" i="29" s="1"/>
  <c r="S10" i="16"/>
  <c r="U10" i="16" s="1"/>
  <c r="O23" i="5"/>
  <c r="L40" i="5"/>
  <c r="R15" i="5"/>
  <c r="M10" i="5"/>
  <c r="N11" i="5"/>
  <c r="S5" i="16"/>
  <c r="U5" i="16" s="1"/>
  <c r="H40" i="5"/>
  <c r="V41" i="5" s="1"/>
  <c r="Q9" i="7"/>
  <c r="Q16" i="29"/>
  <c r="O3" i="16"/>
  <c r="N3" i="16"/>
  <c r="P3" i="16"/>
  <c r="R29" i="5"/>
  <c r="Q18" i="29" l="1"/>
  <c r="R21" i="5"/>
  <c r="R20" i="5" s="1"/>
  <c r="R36" i="5"/>
  <c r="P26" i="29"/>
  <c r="K13" i="7"/>
  <c r="G66" i="28"/>
  <c r="Q25" i="29"/>
  <c r="M10" i="7"/>
  <c r="I8" i="7"/>
  <c r="I13" i="7" s="1"/>
  <c r="O43" i="16"/>
  <c r="P43" i="16"/>
  <c r="Q43" i="16"/>
  <c r="O42" i="29"/>
  <c r="P42" i="29"/>
  <c r="N40" i="16"/>
  <c r="S40" i="16" s="1"/>
  <c r="U40" i="16" s="1"/>
  <c r="Q10" i="29"/>
  <c r="Q38" i="29"/>
  <c r="P41" i="16"/>
  <c r="O41" i="16"/>
  <c r="O45" i="16" s="1"/>
  <c r="Q41" i="16"/>
  <c r="Q45" i="16" s="1"/>
  <c r="N41" i="16"/>
  <c r="Q19" i="29"/>
  <c r="S30" i="16"/>
  <c r="U30" i="16" s="1"/>
  <c r="S43" i="16"/>
  <c r="U43" i="16" s="1"/>
  <c r="N33" i="16"/>
  <c r="S33" i="16" s="1"/>
  <c r="U33" i="16" s="1"/>
  <c r="M7" i="53"/>
  <c r="I39" i="28"/>
  <c r="G36" i="28"/>
  <c r="G42" i="28" s="1"/>
  <c r="K23" i="5"/>
  <c r="K40" i="5" s="1"/>
  <c r="N24" i="5"/>
  <c r="O34" i="5"/>
  <c r="O40" i="5" s="1"/>
  <c r="O17" i="29"/>
  <c r="P17" i="29"/>
  <c r="P15" i="29" s="1"/>
  <c r="N15" i="29"/>
  <c r="Q34" i="5"/>
  <c r="Q40" i="5" s="1"/>
  <c r="I52" i="29"/>
  <c r="D14" i="50"/>
  <c r="R16" i="5"/>
  <c r="P34" i="5"/>
  <c r="Q29" i="29"/>
  <c r="P45" i="16"/>
  <c r="R39" i="5"/>
  <c r="O40" i="29"/>
  <c r="P40" i="29"/>
  <c r="P37" i="29" s="1"/>
  <c r="N37" i="29"/>
  <c r="F7" i="12"/>
  <c r="F18" i="12"/>
  <c r="S29" i="16"/>
  <c r="U29" i="16" s="1"/>
  <c r="G77" i="28"/>
  <c r="O8" i="29"/>
  <c r="P8" i="29"/>
  <c r="P7" i="29" s="1"/>
  <c r="N7" i="29"/>
  <c r="R38" i="5"/>
  <c r="N40" i="28"/>
  <c r="I22" i="28"/>
  <c r="K26" i="28"/>
  <c r="K22" i="28" s="1"/>
  <c r="R14" i="5"/>
  <c r="P40" i="5"/>
  <c r="I61" i="28"/>
  <c r="K62" i="28"/>
  <c r="K61" i="28" s="1"/>
  <c r="R7" i="5"/>
  <c r="R6" i="5" s="1"/>
  <c r="N34" i="5"/>
  <c r="R35" i="5"/>
  <c r="K76" i="28"/>
  <c r="K66" i="28" s="1"/>
  <c r="I66" i="28"/>
  <c r="M40" i="5"/>
  <c r="I40" i="5"/>
  <c r="F3" i="8" s="1"/>
  <c r="F2" i="8" s="1"/>
  <c r="N14" i="5"/>
  <c r="S3" i="16"/>
  <c r="R11" i="5"/>
  <c r="R10" i="5" s="1"/>
  <c r="N10" i="5"/>
  <c r="Q33" i="29"/>
  <c r="Q26" i="29" s="1"/>
  <c r="U9" i="5"/>
  <c r="Q7" i="7"/>
  <c r="Q6" i="7" s="1"/>
  <c r="M6" i="7"/>
  <c r="S39" i="16"/>
  <c r="U39" i="16" s="1"/>
  <c r="K11" i="28"/>
  <c r="K7" i="28" s="1"/>
  <c r="I7" i="28"/>
  <c r="O26" i="29"/>
  <c r="F16" i="12"/>
  <c r="F5" i="12"/>
  <c r="N52" i="29" l="1"/>
  <c r="N45" i="16"/>
  <c r="P52" i="29"/>
  <c r="Q42" i="29"/>
  <c r="S41" i="16"/>
  <c r="U41" i="16" s="1"/>
  <c r="I36" i="28"/>
  <c r="I42" i="28" s="1"/>
  <c r="K39" i="28"/>
  <c r="K36" i="28" s="1"/>
  <c r="K42" i="28" s="1"/>
  <c r="S73" i="16" s="1"/>
  <c r="Q10" i="7"/>
  <c r="Q8" i="7" s="1"/>
  <c r="Q13" i="7" s="1"/>
  <c r="S69" i="16" s="1"/>
  <c r="M8" i="7"/>
  <c r="M13" i="7" s="1"/>
  <c r="Q7" i="53"/>
  <c r="Q6" i="53" s="1"/>
  <c r="Q10" i="53" s="1"/>
  <c r="M6" i="53"/>
  <c r="M10" i="53" s="1"/>
  <c r="Q17" i="29"/>
  <c r="Q15" i="29" s="1"/>
  <c r="O15" i="29"/>
  <c r="R24" i="5"/>
  <c r="R23" i="5" s="1"/>
  <c r="N23" i="5"/>
  <c r="N40" i="5" s="1"/>
  <c r="I77" i="28"/>
  <c r="F5" i="8"/>
  <c r="F4" i="8" s="1"/>
  <c r="F14" i="8" s="1"/>
  <c r="G8" i="8" s="1"/>
  <c r="H8" i="8" s="1"/>
  <c r="U40" i="5"/>
  <c r="R34" i="5"/>
  <c r="R40" i="5" s="1"/>
  <c r="K77" i="28"/>
  <c r="V43" i="5"/>
  <c r="V44" i="5" s="1"/>
  <c r="V45" i="5" s="1"/>
  <c r="V46" i="5" s="1"/>
  <c r="Q8" i="29"/>
  <c r="Q7" i="29" s="1"/>
  <c r="O7" i="29"/>
  <c r="F9" i="12"/>
  <c r="S45" i="16"/>
  <c r="T30" i="16"/>
  <c r="T29" i="16"/>
  <c r="T31" i="16"/>
  <c r="U3" i="16"/>
  <c r="U45" i="16" s="1"/>
  <c r="F10" i="12"/>
  <c r="F6" i="12"/>
  <c r="F17" i="12"/>
  <c r="F12" i="12"/>
  <c r="F11" i="12" s="1"/>
  <c r="F8" i="12"/>
  <c r="F19" i="12"/>
  <c r="F20" i="12"/>
  <c r="F21" i="12"/>
  <c r="E4" i="40"/>
  <c r="E3" i="40" s="1"/>
  <c r="D4" i="40"/>
  <c r="Q40" i="29"/>
  <c r="O37" i="29"/>
  <c r="N41" i="28" l="1"/>
  <c r="I4" i="12"/>
  <c r="Q37" i="29"/>
  <c r="Q52" i="29" s="1"/>
  <c r="N42" i="28"/>
  <c r="F13" i="12"/>
  <c r="F2" i="12"/>
  <c r="N77" i="28"/>
  <c r="S72" i="16"/>
  <c r="N78" i="28"/>
  <c r="V40" i="5"/>
  <c r="C13" i="50"/>
  <c r="E5" i="40"/>
  <c r="D3" i="40"/>
  <c r="B4" i="40"/>
  <c r="S67" i="16"/>
  <c r="S78" i="16" s="1"/>
  <c r="S79" i="16" s="1"/>
  <c r="V38" i="5"/>
  <c r="U8" i="53"/>
  <c r="O52" i="29"/>
  <c r="I6" i="12" l="1"/>
  <c r="I8" i="12"/>
  <c r="F48" i="12"/>
  <c r="D5" i="40"/>
  <c r="B5" i="40" s="1"/>
  <c r="B3" i="40"/>
  <c r="I2" i="12"/>
  <c r="C16" i="50"/>
  <c r="E13" i="50"/>
  <c r="H13" i="50"/>
  <c r="F13" i="50"/>
  <c r="F16" i="50" s="1"/>
  <c r="G30" i="12" l="1"/>
  <c r="I30" i="12" s="1"/>
  <c r="G47" i="12"/>
  <c r="F4" i="40"/>
  <c r="F5" i="40" s="1"/>
  <c r="E16" i="50"/>
  <c r="D13" i="50"/>
  <c r="G13" i="50"/>
  <c r="H16" i="50"/>
  <c r="D16" i="50" l="1"/>
  <c r="L13" i="50" s="1"/>
  <c r="I13" i="12"/>
  <c r="K13" i="50"/>
  <c r="K16" i="50" s="1"/>
  <c r="J13" i="50"/>
  <c r="J16" i="50" s="1"/>
  <c r="G16" i="50"/>
</calcChain>
</file>

<file path=xl/comments1.xml><?xml version="1.0" encoding="utf-8"?>
<comments xmlns="http://schemas.openxmlformats.org/spreadsheetml/2006/main">
  <authors>
    <author>YlmF</author>
  </authors>
  <commentList>
    <comment ref="C77" authorId="0" shapeId="0">
      <text>
        <r>
          <rPr>
            <b/>
            <sz val="8"/>
            <color indexed="81"/>
            <rFont val="Tahoma"/>
            <family val="2"/>
          </rPr>
          <t>YlmF: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DD013004010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" name="DD013004010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" name="DD013004010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" name="DD013004010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" name="DD013004010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" name="DD013004010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" name="DD013004010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" name="DD013004010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" name="DD013004010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" name="DD013004010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" name="DD013004010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" name="DD013004010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" name="DD013004010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" name="DD013004010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" name="DD013004010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" name="DD013004010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" name="DD013004010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" name="DD013004010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" name="DD013004010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" name="DD013004010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" name="DD013004010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" name="DD013004010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" name="DD013004010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" name="DD013004010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" name="DD013004010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" name="DD013004010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" name="DD013004010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" name="DD013004010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" name="DD013004010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" name="DD013004010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" name="DD013004010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" name="DD013004010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" name="DD013004010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" name="DD013004010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" name="DD013004010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" name="DD013004010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" name="DD013004010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" name="DD013004010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" name="DD013004010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" name="DD013004010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" name="DD013004010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" name="DD013004010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" name="DD013004010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" name="DD013004010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" name="DD013004010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" name="DD013004010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" name="DD013004010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" name="DD013004010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" name="DD013004010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" name="DD013004010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" name="DD013004010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" name="DD013004010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" name="DD013004010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" name="DD013004010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" name="DD013004010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" name="DD013004010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" name="DD013004010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" name="DD013004010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" name="DD013004010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" name="DD013004010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" name="DD013004010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" name="DD013004010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" name="DD013004010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" name="DD013004010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" name="DD013004010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" name="DD013004010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" name="DD013004010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" name="DD013004010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" name="DD013004010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" name="DD013004010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" name="DD013004010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" name="DD013004010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" name="DD013004010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" name="DD013004010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" name="DD013004010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" name="DD013004010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" name="DD013004010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" name="DD013004010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" name="DD013004010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" name="DD013004010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" name="DD013004010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" name="DD013004010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" name="DD013004010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" name="DD013004010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" name="DD013004010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" name="DD013004010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" name="DD013004010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" name="DD013004010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" name="DD013004010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" name="DD013004010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" name="DD013004010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" name="DD013004010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" name="DD013004010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" name="DD013004010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" name="DD013004010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" name="DD013004010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" name="DD013004010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" name="DD013004010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" name="DD013004010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" name="DD013004010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" name="DD013004010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" name="DD013004010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" name="DD013004010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" name="DD013004010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" name="DD013004010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" name="DD013004010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" name="DD013004010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" name="DD013004010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" name="DD013004010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" name="DD013004010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" name="DD013004010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" name="DD013004011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" name="DD013004011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" name="DD013004011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" name="DD013004011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" name="DD013004011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" name="DD013004011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" name="DD013004011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" name="DD013004011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" name="DD013004011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" name="DD013004011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" name="DD013004011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" name="DD013004011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" name="DD013004011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" name="DD013004011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" name="DD013004011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" name="DD013004011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" name="DD013004011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" name="DD013004011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" name="DD013004011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" name="DD013004011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" name="DD013004011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" name="DD013004011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" name="DD013004011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" name="DD013004011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" name="DD013004011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" name="DD013004011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" name="DD013004011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" name="DD013004011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" name="DD013004011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" name="DD013004011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" name="DD013004011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" name="DD013004011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" name="DD013004011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" name="DD013004011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" name="DD013004011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" name="DD013004011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" name="DD013004011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" name="DD013004011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" name="DD013004011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" name="DD013004011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" name="DD013004011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" name="DD013004011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" name="DD013004011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" name="DD013004011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" name="DD013004011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" name="DD013004011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" name="DD013004011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" name="DD013004011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" name="DD013004011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" name="DD013004011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" name="DD013004011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" name="DD013004011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" name="DD013004011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" name="DD013004011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" name="DD013004011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" name="DD013004011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" name="DD013004011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" name="DD013004011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" name="DD013004011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" name="DD013004011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" name="DD013004011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" name="DD013004011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" name="DD013004011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" name="DD013004011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" name="DD013004011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" name="DD013004011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" name="DD013004011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" name="DD013004011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" name="DD013004011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1" name="DD013004011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2" name="DD013004011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3" name="DD013004011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4" name="DD013004011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5" name="DD013004011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6" name="DD013004011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7" name="DD013004011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8" name="DD013004011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9" name="DD013004011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0" name="DD013004011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1" name="DD013004011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2" name="DD013004011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3" name="DD013004011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4" name="DD013004011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5" name="DD013004011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6" name="DD013004011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7" name="DD013004011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8" name="DD013004011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9" name="DD013004011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0" name="DD013004011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1" name="DD013004011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2" name="DD013004011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3" name="DD013004011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4" name="DD013004011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5" name="DD013004011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6" name="DD013004011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7" name="DD013004011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8" name="DD013004011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9" name="DD013004011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0" name="DD013004011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1" name="DD013004011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2" name="DD013004011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3" name="DD013004011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4" name="DD013004011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5" name="DD013004011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6" name="DD013004011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7" name="DD013004011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8" name="DD013004011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9" name="DD013004011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0" name="DD013004011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1" name="DD013004011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2" name="DD013004011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3" name="DD013004012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4" name="DD013004012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5" name="DD013004012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6" name="DD013004012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7" name="DD013004012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8" name="DD013004012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9" name="DD013004012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0" name="DD013004012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1" name="DD013004012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2" name="DD013004012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3" name="DD013004012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4" name="DD013004012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5" name="DD013004012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6" name="DD013004012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7" name="DD013004012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8" name="DD013004012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9" name="DD013004012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0" name="DD013004012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1" name="DD013004012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2" name="DD013004012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3" name="DD013004012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4" name="DD013004012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5" name="DD013004012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6" name="DD013004012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7" name="DD013004012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8" name="DD013004012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9" name="DD013004012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0" name="DD013004012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1" name="DD013004012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2" name="DD013004012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3" name="DD013004012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4" name="DD013004012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5" name="DD013004012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6" name="DD013004012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7" name="DD013004012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8" name="DD013004012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9" name="DD013004012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0" name="DD013004012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1" name="DD013004012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2" name="DD013004012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3" name="DD013004012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4" name="DD013004012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5" name="DD013004012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6" name="DD013004012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7" name="DD013004012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8" name="DD013004012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9" name="DD013004012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0" name="DD013004012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1" name="DD013004012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2" name="DD013004012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3" name="DD013004012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4" name="DD013004012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5" name="DD013004012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6" name="DD013004012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7" name="DD013004012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8" name="DD013004012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9" name="DD013004012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0" name="DD013004012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1" name="DD013004012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2" name="DD013004012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3" name="DD013004012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4" name="DD013004012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5" name="DD013004012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6" name="DD013004012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7" name="DD013004012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8" name="DD013004012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9" name="DD013004012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0" name="DD013004012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1" name="DD013004012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2" name="DD013004012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3" name="DD013004012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4" name="DD013004012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5" name="DD013004012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6" name="DD013004012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7" name="DD013004012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8" name="DD013004012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9" name="DD013004012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0" name="DD013004012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1" name="DD013004012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2" name="DD013004012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3" name="DD013004012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4" name="DD013004012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5" name="DD013004012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6" name="DD013004012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7" name="DD013004012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8" name="DD013004012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9" name="DD013004012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0" name="DD013004012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1" name="DD013004012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2" name="DD013004012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3" name="DD013004012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4" name="DD013004012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5" name="DD013004012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6" name="DD013004012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7" name="DD013004012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8" name="DD013004012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9" name="DD013004012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0" name="DD013004012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1" name="DD013004012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2" name="DD013004012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3" name="DD013004012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4" name="DD013004012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5" name="DD013004012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6" name="DD013004012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7" name="DD013004012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8" name="DD013004012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9" name="DD013004012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0" name="DD013004012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1" name="DD013004012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2" name="DD013004012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3" name="DD013004012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4" name="DD013004013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5" name="DD013004013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6" name="DD013004013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7" name="DD013004013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8" name="DD013004013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9" name="DD013004013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0" name="DD013004013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1" name="DD013004013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2" name="DD013004013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3" name="DD013004013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4" name="DD013004013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5" name="DD013004013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6" name="DD013004013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7" name="DD013004013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8" name="DD013004013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9" name="DD013004013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0" name="DD013004013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1" name="DD013004013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2" name="DD013004013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3" name="DD013004013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4" name="DD013004013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5" name="DD013004013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6" name="DD013004013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7" name="DD013004013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8" name="DD013004013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9" name="DD013004013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0" name="DD013004013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1" name="DD013004013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2" name="DD013004013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3" name="DD013004013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4" name="DD013004013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5" name="DD013004013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6" name="DD013004013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7" name="DD013004013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8" name="DD013004013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9" name="DD013004013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0" name="DD013004013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1" name="DD013004013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2" name="DD013004013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3" name="DD013004013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4" name="DD013004013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5" name="DD013004013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6" name="DD013004013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7" name="DD013004013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8" name="DD013004013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9" name="DD013004013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0" name="DD013004013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1" name="DD013004013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2" name="DD013004013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3" name="DD013004013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4" name="DD013004013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5" name="DD013004013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6" name="DD013004013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7" name="DD013004013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8" name="DD013004013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9" name="DD013004013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0" name="DD013004013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1" name="DD013004013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2" name="DD013004013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3" name="DD013004013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4" name="DD013004013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5" name="DD013004013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6" name="DD013004013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7" name="DD013004013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8" name="DD013004013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9" name="DD013004013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0" name="DD013004013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1" name="DD013004013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2" name="DD013004013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3" name="DD013004013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4" name="DD013004013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5" name="DD013004013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6" name="DD013004013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7" name="DD013004013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8" name="DD013004013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9" name="DD013004013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0" name="DD013004013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1" name="DD013004013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2" name="DD013004013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3" name="DD013004013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4" name="DD013004013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5" name="DD013004013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6" name="DD013004013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7" name="DD013004013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8" name="DD013004013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9" name="DD013004013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0" name="DD013004013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1" name="DD013004013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2" name="DD013004013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3" name="DD013004013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4" name="DD013004013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5" name="DD013004013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6" name="DD013004013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7" name="DD013004013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8" name="DD013004013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9" name="DD013004013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0" name="DD013004013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1" name="DD013004013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2" name="DD013004013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3" name="DD013004013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4" name="DD013004013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5" name="DD013004013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6" name="DD013004013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7" name="DD013004013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8" name="DD013004013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9" name="DD013004013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0" name="DD013004013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1" name="DD013004013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2" name="DD013004013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3" name="DD013004013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4" name="DD013004013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5" name="DD013004014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6" name="DD013004014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7" name="DD013004014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8" name="DD013004014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9" name="DD013004014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0" name="DD013004014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1" name="DD013004014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2" name="DD013004014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3" name="DD013004014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4" name="DD013004014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5" name="DD013004014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6" name="DD013004014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7" name="DD013004014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8" name="DD013004014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9" name="DD013004014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0" name="DD013004014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1" name="DD013004014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2" name="DD013004014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3" name="DD013004014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4" name="DD013004014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5" name="DD013004014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6" name="DD013004014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7" name="DD013004014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8" name="DD013004014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9" name="DD013004014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0" name="DD013004014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1" name="DD013004014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2" name="DD013004014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3" name="DD013004014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4" name="DD013004014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5" name="DD013004014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6" name="DD013004014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7" name="DD013004014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8" name="DD013004014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9" name="DD013004014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0" name="DD013004014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1" name="DD013004014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2" name="DD013004014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3" name="DD013004014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4" name="DD013004014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5" name="DD013004014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6" name="DD013004014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7" name="DD013004014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8" name="DD013004014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9" name="DD013004014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0" name="DD013004014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1" name="DD013004014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2" name="DD013004014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3" name="DD013004014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4" name="DD013004014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5" name="DD013004014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6" name="DD013004014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7" name="DD013004014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8" name="DD013004014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9" name="DD013004014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0" name="DD013004014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1" name="DD013004014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2" name="DD013004014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3" name="DD013004014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4" name="DD013004014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5" name="DD013004014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6" name="DD013004014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7" name="DD013004014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8" name="DD013004014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9" name="DD013004014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0" name="DD013004014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1" name="DD013004014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2" name="DD013004014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3" name="DD013004014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4" name="DD013004014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5" name="DD013004014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6" name="DD013004014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7" name="DD013004014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8" name="DD013004014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9" name="DD013004014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0" name="DD013004014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1" name="DD013004014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2" name="DD013004014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3" name="DD013004014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4" name="DD013004014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5" name="DD013004014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6" name="DD013004014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7" name="DD013004014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8" name="DD013004014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9" name="DD013004014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0" name="DD013004014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1" name="DD013004014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2" name="DD013004014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3" name="DD013004014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4" name="DD013004014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5" name="DD013004014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6" name="DD013004014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7" name="DD013004014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8" name="DD013004014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9" name="DD013004014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0" name="DD013004014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1" name="DD013004014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2" name="DD013004014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3" name="DD013004014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4" name="DD013004014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5" name="DD013004014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6" name="DD013004014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7" name="DD013004014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8" name="DD013004014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9" name="DD013004014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0" name="DD013004014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1" name="DD013004014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2" name="DD013004014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3" name="DD013004014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4" name="DD013004014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5" name="DD013004014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6" name="DD013004015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7" name="DD013004015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8" name="DD013004015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9" name="DD013004015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0" name="DD013004015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1" name="DD013004015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2" name="DD013004015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3" name="DD013004015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4" name="DD013004015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5" name="DD013004015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6" name="DD013004015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7" name="DD013004015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8" name="DD013004015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9" name="DD013004015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0" name="DD013004015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1" name="DD013004015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2" name="DD013004015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3" name="DD013004015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4" name="DD013004015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5" name="DD013004015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6" name="DD013004015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7" name="DD013004015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8" name="DD013004015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9" name="DD013004015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0" name="DD013004015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1" name="DD013004015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2" name="DD013004015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3" name="DD013004015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4" name="DD013004015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5" name="DD013004015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6" name="DD013004015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7" name="DD013004015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8" name="DD013004015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9" name="DD013004015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0" name="DD013004015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1" name="DD013004015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2" name="DD013004015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3" name="DD013004015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4" name="DD013004015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5" name="DD013004015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6" name="DD013004015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7" name="DD013004015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8" name="DD013004015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9" name="DD013004015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0" name="DD013004015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1" name="DD013004015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2" name="DD013004015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3" name="DD013004015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4" name="DD013004015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5" name="DD013004015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6" name="DD013004015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7" name="DD013004015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8" name="DD013004015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9" name="DD013004015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0" name="DD013004015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1" name="DD013004015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2" name="DD013004015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3" name="DD013004015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4" name="DD013004015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5" name="DD013004015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6" name="DD013004015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7" name="DD013004015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8" name="DD013004015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9" name="DD013004015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0" name="DD013004015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1" name="DD013004015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2" name="DD013004015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3" name="DD013004015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4" name="DD013004015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5" name="DD013004015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6" name="DD013004015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7" name="DD013004015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8" name="DD013004015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9" name="DD013004015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0" name="DD013004015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1" name="DD013004015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2" name="DD013004015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3" name="DD013004015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4" name="DD013004015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5" name="DD013004015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6" name="DD013004015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7" name="DD013004015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8" name="DD013004015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9" name="DD013004015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0" name="DD013004015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1" name="DD013004015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2" name="DD013004015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3" name="DD013004015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4" name="DD013004015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5" name="DD013004015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6" name="DD013004015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7" name="DD013004015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8" name="DD013004015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9" name="DD013004015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0" name="DD013004015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1" name="DD013004015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2" name="DD013004015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3" name="DD013004015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4" name="DD013004015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5" name="DD013004015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6" name="DD013004015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7" name="DD013004015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8" name="DD013004015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9" name="DD013004015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0" name="DD013004015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1" name="DD013004015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2" name="DD013004015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3" name="DD013004015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4" name="DD013004015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5" name="DD013004015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6" name="DD013004015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7" name="DD013004016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8" name="DD013004016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9" name="DD013004016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0" name="DD013004016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1" name="DD013004016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2" name="DD013004016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3" name="DD013004016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4" name="DD013004016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5" name="DD013004016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6" name="DD013004016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7" name="DD013004016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8" name="DD013004016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9" name="DD013004016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0" name="DD013004016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1" name="DD013004016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2" name="DD013004016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3" name="DD013004016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4" name="DD013004016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5" name="DD013004016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6" name="DD013004016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7" name="DD013004016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8" name="DD013004016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9" name="DD013004016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0" name="DD013004016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1" name="DD013004016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2" name="DD013004016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3" name="DD013004016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4" name="DD013004016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5" name="DD013004016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6" name="DD013004016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7" name="DD013004016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8" name="DD013004016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9" name="DD013004016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0" name="DD013004016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1" name="DD013004016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2" name="DD013004016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3" name="DD013004016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4" name="DD013004016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5" name="DD013004016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6" name="DD013004016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7" name="DD013004016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8" name="DD013004016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9" name="DD013004016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0" name="DD013004016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1" name="DD013004016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2" name="DD013004016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3" name="DD013004016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4" name="DD013004016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5" name="DD013004016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6" name="DD013004016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7" name="DD013004016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8" name="DD013004016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9" name="DD013004016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0" name="DD013004016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1" name="DD013004016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2" name="DD013004016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3" name="DD013004016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4" name="DD013004016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5" name="DD013004016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6" name="DD013004016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7" name="DD013004016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8" name="DD013004016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9" name="DD013004016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0" name="DD013004016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1" name="DD013004016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2" name="DD013004016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3" name="DD013004016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4" name="DD013004016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5" name="DD013004016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6" name="DD013004016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7" name="DD013004016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8" name="DD013004016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9" name="DD013004016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0" name="DD013004016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1" name="DD013004016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2" name="DD013004016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3" name="DD013004016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4" name="DD013004016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5" name="DD013004016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6" name="DD013004016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7" name="DD013004016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8" name="DD013004016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9" name="DD013004016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0" name="DD013004016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1" name="DD013004016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2" name="DD013004016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3" name="DD013004016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4" name="DD013004016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5" name="DD013004016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6" name="DD013004016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7" name="DD013004016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8" name="DD013004016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9" name="DD013004016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0" name="DD013004016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1" name="DD013004016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2" name="DD013004016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3" name="DD013004016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4" name="DD013004016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5" name="DD013004016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6" name="DD013004016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7" name="DD013004016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8" name="DD013004016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9" name="DD013004016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0" name="DD013004016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1" name="DD013004016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2" name="DD013004016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3" name="DD013004016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4" name="DD013004016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5" name="DD013004016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6" name="DD013004016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7" name="DD013004016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8" name="DD013004017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9" name="DD013004017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0" name="DD013004017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1" name="DD013004017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2" name="DD013004017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3" name="DD013004017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4" name="DD013004017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5" name="DD013004017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6" name="DD013004017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7" name="DD013004017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8" name="DD013004017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9" name="DD013004017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0" name="DD013004017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1" name="DD013004017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2" name="DD013004017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3" name="DD013004017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4" name="DD013004017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5" name="DD013004017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6" name="DD013004017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7" name="DD013004017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8" name="DD013004017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9" name="DD013004017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0" name="DD013004017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1" name="DD013004017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2" name="DD013004017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3" name="DD013004017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4" name="DD013004017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5" name="DD013004017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6" name="DD013004017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7" name="DD013004017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8" name="DD013004017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9" name="DD013004017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0" name="DD013004017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1" name="DD013004017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2" name="DD013004017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3" name="DD013004017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4" name="DD013004017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5" name="DD013004017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6" name="DD013004017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7" name="DD013004017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8" name="DD013004017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9" name="DD013004017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0" name="DD013004017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1" name="DD013004017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2" name="DD013004017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3" name="DD013004017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4" name="DD013004017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5" name="DD013004017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6" name="DD013004017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7" name="DD013004017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8" name="DD013004017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9" name="DD013004017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0" name="DD013004017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1" name="DD013004017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2" name="DD013004017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3" name="DD013004017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4" name="DD013004017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5" name="DD013004017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6" name="DD013004017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7" name="DD013004017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8" name="DD013004017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9" name="DD013004017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0" name="DD013004017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1" name="DD013004017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2" name="DD013004017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3" name="DD013004017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4" name="DD013004017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5" name="DD013004017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6" name="DD013004017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7" name="DD013004017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8" name="DD013004017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9" name="DD013004017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0" name="DD013004017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1" name="DD013004017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2" name="DD013004017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3" name="DD013004017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4" name="DD013004017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5" name="DD013004017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6" name="DD013004017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7" name="DD013004017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8" name="DD013004017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9" name="DD013004017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0" name="DD013004017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1" name="DD013004017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2" name="DD013004017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3" name="DD013004017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4" name="DD013004017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5" name="DD013004017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6" name="DD013004017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7" name="DD013004017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8" name="DD013004017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9" name="DD013004017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0" name="DD013004017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1" name="DD013004017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2" name="DD013004017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3" name="DD013004017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4" name="DD013004017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5" name="DD013004017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6" name="DD013004017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7" name="DD013004017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8" name="DD013004017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9" name="DD013004017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0" name="DD013004017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1" name="DD013004017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2" name="DD013004017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3" name="DD013004017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4" name="DD013004017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5" name="DD013004017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6" name="DD013004017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7" name="DD013004017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8" name="DD013004017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9" name="DD013004018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0" name="DD013004018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1" name="DD013004018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2" name="DD013004018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3" name="DD013004018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4" name="DD013004018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5" name="DD013004018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6" name="DD013004018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7" name="DD013004018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8" name="DD013004018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9" name="DD013004018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0" name="DD013004018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1" name="DD01300401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2" name="DD01300401812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3" name="DD01300401813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4" name="DD01300401814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5" name="DD01300401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6" name="DD01300401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7" name="DD01300401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8" name="DD01300401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9" name="DD01300401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0" name="DD01300401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1" name="DD01300401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2" name="DD01300401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3" name="DD01300401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4" name="DD01300401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5" name="DD01300401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6" name="DD01300401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7" name="DD01300401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8" name="DD01300401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9" name="DD01300401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0" name="DD01300401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1" name="DD01300401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2" name="DD01300401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3" name="DD01300401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4" name="DD01300402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5" name="DD01300402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6" name="DD01300402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7" name="DD01300402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8" name="DD01300402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9" name="DD01300402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0" name="DD01300402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1" name="DD01300402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2" name="DD01300402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3" name="DD01300402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4" name="DD01300402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5" name="DD01300402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6" name="DD01300402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7" name="DD01300402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8" name="DD01300402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9" name="DD01300402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0" name="DD01300402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1" name="DD01300402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2" name="DD01300402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3" name="DD01300402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4" name="DD01300402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5" name="DD01300402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6" name="DD01300402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7" name="DD01300402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8" name="DD01300402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9" name="DD01300402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0" name="DD01300402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1" name="DD01300402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2" name="DD01300402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3" name="DD01300402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4" name="DD01300402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5" name="DD01300402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6" name="DD01300402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7" name="DD01300402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8" name="DD01300402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9" name="DD01300402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0" name="DD01300402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1" name="DD01300402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2" name="DD01300402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3" name="DD01300402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4" name="DD01300402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5" name="DD01300402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6" name="DD01300402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7" name="DD01300402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8" name="DD01300402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9" name="DD01300402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0" name="DD01300402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1" name="DD01300402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2" name="DD01300402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3" name="DD01300402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4" name="DD01300402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5" name="DD01300402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6" name="DD01300402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7" name="DD01300402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8" name="DD01300402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9" name="DD01300402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0" name="DD01300402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1" name="DD01300402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2" name="DD01300402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3" name="DD01300402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4" name="DD01300402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5" name="DD01300402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6" name="DD01300402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7" name="DD01300402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8" name="DD01300402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9" name="DD01300402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0" name="DD01300402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1" name="DD01300402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2" name="DD01300402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3" name="DD01300402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4" name="DD01300402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5" name="DD01300402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6" name="DD01300402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7" name="DD01300402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8" name="DD01300402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9" name="DD01300402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0" name="DD01300402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1" name="DD01300402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2" name="DD01300402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3" name="DD01300402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4" name="DD01300402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5" name="DD01300402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6" name="DD01300402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7" name="DD01300402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8" name="DD01300402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9" name="DD01300402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0" name="DD01300402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1" name="DD01300402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2" name="DD01300402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3" name="DD01300402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4" name="DD01300402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5" name="DD01300402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6" name="DD01300402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7" name="DD01300402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8" name="DD01300402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9" name="DD01300402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0" name="DD01300402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1" name="DD01300402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2" name="DD01300402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3" name="DD01300402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4" name="DD01300402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5" name="DD01300402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6" name="DD01300402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7" name="DD01300402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8" name="DD01300402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9" name="DD01300402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0" name="DD01300402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1" name="DD01300402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2" name="DD01300402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3" name="DD01300402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4" name="DD01300402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5" name="DD01300403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6" name="DD01300403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7" name="DD01300403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8" name="DD01300403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9" name="DD01300403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0" name="DD01300403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1" name="DD01300403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2" name="DD01300403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3" name="DD01300403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4" name="DD01300403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5" name="DD01300403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6" name="DD01300403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7" name="DD01300403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8" name="DD01300403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9" name="DD01300403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0" name="DD01300403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1" name="DD01300403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2" name="DD01300403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3" name="DD01300403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4" name="DD01300403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5" name="DD01300403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6" name="DD01300403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7" name="DD01300403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8" name="DD01300403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9" name="DD01300403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0" name="DD01300403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1" name="DD01300403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2" name="DD01300403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3" name="DD01300403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4" name="DD01300403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5" name="DD01300403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6" name="DD01300403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7" name="DD01300403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8" name="DD01300403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9" name="DD01300403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0" name="DD01300403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1" name="DD01300403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2" name="DD01300403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3" name="DD01300403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4" name="DD01300403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5" name="DD01300403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6" name="DD01300403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7" name="DD01300403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8" name="DD01300403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9" name="DD01300403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0" name="DD01300403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1" name="DD01300403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2" name="DD01300403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3" name="DD01300403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4" name="DD01300403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5" name="DD01300403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6" name="DD01300403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7" name="DD01300403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8" name="DD01300403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9" name="DD01300403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0" name="DD01300403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1" name="DD01300403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2" name="DD01300403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3" name="DD01300403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4" name="DD01300403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5" name="DD01300403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6" name="DD01300403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7" name="DD01300403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8" name="DD01300403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9" name="DD01300403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0" name="DD01300403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1" name="DD01300403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2" name="DD01300403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3" name="DD01300403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4" name="DD01300403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5" name="DD01300403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6" name="DD01300403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7" name="DD01300403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8" name="DD01300403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9" name="DD01300403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0" name="DD01300403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1" name="DD01300403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2" name="DD01300403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3" name="DD01300403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4" name="DD01300403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5" name="DD01300403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6" name="DD01300403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7" name="DD01300403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8" name="DD01300403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9" name="DD01300403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0" name="DD01300403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1" name="DD01300403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2" name="DD01300403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3" name="DD01300403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4" name="DD01300403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5" name="DD01300403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6" name="DD01300403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7" name="DD01300403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8" name="DD01300403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9" name="DD01300403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0" name="DD01300403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1" name="DD01300403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2" name="DD01300403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3" name="DD01300403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4" name="DD01300403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5" name="DD01300403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6" name="DD01300403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7" name="DD01300403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8" name="DD01300403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9" name="DD01300403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0" name="DD01300403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1" name="DD01300403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2" name="DD01300403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3" name="DD01300403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4" name="DD01300403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5" name="DD01300403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6" name="DD01300404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7" name="DD01300404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8" name="DD01300404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9" name="DD01300404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0" name="DD01300404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1" name="DD01300404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2" name="DD01300404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3" name="DD01300404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4" name="DD01300404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5" name="DD01300404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6" name="DD01300404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7" name="DD01300404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8" name="DD01300404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9" name="DD01300404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0" name="DD01300404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1" name="DD01300404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2" name="DD01300404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3" name="DD01300404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4" name="DD01300404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5" name="DD01300404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6" name="DD01300404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7" name="DD01300404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8" name="DD01300404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9" name="DD01300404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0" name="DD01300404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1" name="DD01300404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2" name="DD01300404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3" name="DD01300404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4" name="DD01300404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5" name="DD01300404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6" name="DD01300404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7" name="DD01300404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8" name="DD01300404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9" name="DD01300404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0" name="DD01300404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1" name="DD01300404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2" name="DD01300404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3" name="DD01300404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4" name="DD01300404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5" name="DD01300404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6" name="DD01300404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7" name="DD01300404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8" name="DD01300404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9" name="DD01300404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0" name="DD01300404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1" name="DD01300404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2" name="DD01300404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3" name="DD01300404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4" name="DD01300404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5" name="DD01300404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6" name="DD01300404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7" name="DD01300404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8" name="DD01300404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9" name="DD01300404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0" name="DD01300404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1" name="DD01300404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2" name="DD01300404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3" name="DD01300404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4" name="DD01300404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5" name="DD01300404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6" name="DD01300404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7" name="DD01300404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8" name="DD01300404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9" name="DD01300404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0" name="DD01300404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1" name="DD01300404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2" name="DD01300404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3" name="DD01300404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4" name="DD01300404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5" name="DD01300404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6" name="DD01300404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7" name="DD01300404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8" name="DD01300404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9" name="DD01300404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0" name="DD01300404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1" name="DD01300404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2" name="DD01300404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3" name="DD01300404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4" name="DD01300404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5" name="DD01300404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6" name="DD01300404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7" name="DD01300404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8" name="DD01300404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9" name="DD01300404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0" name="DD01300404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1" name="DD01300404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2" name="DD01300404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3" name="DD01300404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4" name="DD01300404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5" name="DD01300404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6" name="DD01300404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7" name="DD01300404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8" name="DD01300404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9" name="DD01300404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0" name="DD01300404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1" name="DD01300404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2" name="DD01300404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3" name="DD01300404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4" name="DD01300404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5" name="DD01300404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6" name="DD01300404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7" name="DD01300404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8" name="DD01300404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9" name="DD01300404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0" name="DD01300404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1" name="DD01300404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2" name="DD01300404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3" name="DD01300404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4" name="DD01300404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5" name="DD01300404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6" name="DD01300404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7" name="DD01300405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8" name="DD01300405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9" name="DD01300405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0" name="DD01300405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1" name="DD01300405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2" name="DD01300405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3" name="DD01300405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4" name="DD01300405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5" name="DD01300405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6" name="DD01300405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7" name="DD01300405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8" name="DD01300405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9" name="DD01300405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0" name="DD01300405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1" name="DD01300405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2" name="DD01300405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3" name="DD01300405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4" name="DD01300405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5" name="DD01300405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6" name="DD01300405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7" name="DD01300405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8" name="DD01300405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9" name="DD01300405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0" name="DD01300405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1" name="DD01300405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2" name="DD01300405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3" name="DD01300405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4" name="DD01300405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5" name="DD01300405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6" name="DD01300405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7" name="DD01300405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8" name="DD01300405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9" name="DD01300405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0" name="DD01300405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1" name="DD01300405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2" name="DD01300405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3" name="DD01300405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4" name="DD01300405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5" name="DD01300405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6" name="DD01300405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7" name="DD01300405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8" name="DD01300405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9" name="DD01300405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0" name="DD01300405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1" name="DD01300405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2" name="DD01300405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3" name="DD01300405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4" name="DD01300405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5" name="DD01300405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6" name="DD01300405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7" name="DD01300405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8" name="DD01300405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9" name="DD01300405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0" name="DD01300405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1" name="DD01300405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2" name="DD01300405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3" name="DD01300405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4" name="DD01300405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5" name="DD01300405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6" name="DD01300405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7" name="DD01300405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8" name="DD01300405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9" name="DD01300405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0" name="DD01300405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1" name="DD01300405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2" name="DD01300405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3" name="DD01300405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4" name="DD01300405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5" name="DD01300405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6" name="DD01300405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7" name="DD01300405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8" name="DD01300405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9" name="DD01300405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0" name="DD01300405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1" name="DD01300405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2" name="DD01300405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3" name="DD01300405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4" name="DD01300405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5" name="DD01300405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6" name="DD01300405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7" name="DD01300405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8" name="DD01300405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9" name="DD01300405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0" name="DD01300405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1" name="DD01300405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2" name="DD01300405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3" name="DD01300405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4" name="DD01300405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5" name="DD01300405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6" name="DD01300405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7" name="DD01300405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8" name="DD01300405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9" name="DD01300405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0" name="DD01300405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1" name="DD01300405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2" name="DD01300405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3" name="DD01300405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4" name="DD01300405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5" name="DD01300405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6" name="DD01300405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7" name="DD01300405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8" name="DD01300405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9" name="DD01300405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0" name="DD01300405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1" name="DD01300405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2" name="DD01300405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3" name="DD01300405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4" name="DD01300405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5" name="DD01300405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6" name="DD01300405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7" name="DD01300405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8" name="DD01300406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9" name="DD01300406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0" name="DD01300406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1" name="DD01300406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2" name="DD01300406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3" name="DD01300406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4" name="DD01300406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5" name="DD01300406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6" name="DD01300406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7" name="DD01300406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8" name="DD01300406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9" name="DD01300406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0" name="DD01300406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1" name="DD01300406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2" name="DD01300406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3" name="DD01300406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4" name="DD01300406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5" name="DD01300406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6" name="DD01300406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7" name="DD01300406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8" name="DD01300406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9" name="DD01300406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0" name="DD01300406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1" name="DD01300406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2" name="DD01300406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3" name="DD01300406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4" name="DD01300406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5" name="DD01300406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6" name="DD01300406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7" name="DD01300406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8" name="DD01300406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9" name="DD01300406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0" name="DD01300406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1" name="DD01300406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2" name="DD01300406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3" name="DD01300406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4" name="DD01300406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5" name="DD01300406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6" name="DD01300406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7" name="DD01300406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8" name="DD01300406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9" name="DD01300406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0" name="DD01300406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1" name="DD01300406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2" name="DD01300406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3" name="DD01300406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4" name="DD01300406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5" name="DD01300406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6" name="DD01300406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7" name="DD01300406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8" name="DD01300406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9" name="DD01300406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0" name="DD01300406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1" name="DD01300406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2" name="DD01300406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3" name="DD01300406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4" name="DD01300406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5" name="DD01300406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6" name="DD01300406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7" name="DD01300406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8" name="DD01300406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9" name="DD01300406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0" name="DD01300406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1" name="DD01300406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2" name="DD01300406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3" name="DD01300406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4" name="DD01300406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5" name="DD01300406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6" name="DD01300406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7" name="DD01300406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8" name="DD01300406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9" name="DD01300406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0" name="DD01300406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1" name="DD01300406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2" name="DD01300406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3" name="DD01300406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4" name="DD01300406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5" name="DD01300406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6" name="DD01300406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7" name="DD01300406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8" name="DD01300406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9" name="DD01300406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0" name="DD01300406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1" name="DD01300406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2" name="DD01300406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3" name="DD01300406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4" name="DD01300406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5" name="DD01300406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6" name="DD01300406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7" name="DD01300406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8" name="DD01300406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9" name="DD01300406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0" name="DD01300406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1" name="DD01300406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2" name="DD01300406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3" name="DD01300406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4" name="DD01300406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5" name="DD01300406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6" name="DD01300406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7" name="DD01300406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8" name="DD01300406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9" name="DD01300406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0" name="DD01300406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1" name="DD01300406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2" name="DD01300406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3" name="DD01300406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4" name="DD01300406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5" name="DD01300406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6" name="DD01300406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7" name="DD01300406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8" name="DD01300406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9" name="DD01300407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0" name="DD01300407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1" name="DD01300407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2" name="DD01300407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3" name="DD01300407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4" name="DD01300407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5" name="DD01300407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6" name="DD01300407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7" name="DD01300407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8" name="DD01300407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9" name="DD01300407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0" name="DD01300407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1" name="DD01300407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2" name="DD01300407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3" name="DD01300407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4" name="DD01300407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5" name="DD01300407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6" name="DD01300407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7" name="DD01300407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8" name="DD01300407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9" name="DD01300407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0" name="DD01300407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1" name="DD01300407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2" name="DD01300407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3" name="DD01300407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4" name="DD01300407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5" name="DD01300407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6" name="DD01300407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7" name="DD01300407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8" name="DD01300407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9" name="DD01300407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0" name="DD01300407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1" name="DD01300407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2" name="DD01300407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3" name="DD01300407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4" name="DD01300407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5" name="DD01300407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6" name="DD01300407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7" name="DD01300407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8" name="DD01300407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9" name="DD01300407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0" name="DD01300407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1" name="DD01300407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2" name="DD01300407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3" name="DD01300407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4" name="DD01300407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5" name="DD01300407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6" name="DD01300407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7" name="DD01300407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8" name="DD01300407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9" name="DD01300407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0" name="DD01300407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1" name="DD01300407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2" name="DD01300407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3" name="DD01300407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4" name="DD01300407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5" name="DD01300407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6" name="DD01300407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7" name="DD01300407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8" name="DD01300407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9" name="DD01300407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0" name="DD01300407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1" name="DD01300407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2" name="DD01300407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3" name="DD01300407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4" name="DD01300407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5" name="DD01300407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6" name="DD01300407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7" name="DD01300407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8" name="DD01300407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9" name="DD01300407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0" name="DD01300407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1" name="DD01300407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2" name="DD01300407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3" name="DD01300407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4" name="DD01300407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5" name="DD01300407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6" name="DD01300407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7" name="DD01300407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8" name="DD01300407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9" name="DD01300407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0" name="DD01300407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1" name="DD01300407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2" name="DD01300407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3" name="DD01300407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4" name="DD01300407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5" name="DD01300407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6" name="DD01300407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7" name="DD01300407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8" name="DD01300407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9" name="DD01300407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0" name="DD01300407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1" name="DD01300407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2" name="DD01300407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3" name="DD01300407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4" name="DD01300407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5" name="DD01300407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6" name="DD01300407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7" name="DD01300407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8" name="DD01300407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9" name="DD01300407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0" name="DD01300407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1" name="DD01300407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2" name="DD01300407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3" name="DD01300407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4" name="DD01300407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5" name="DD01300407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6" name="DD01300407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7" name="DD01300407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8" name="DD01300407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9" name="DD01300407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0" name="DD01300408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1" name="DD01300408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2" name="DD01300408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3" name="DD01300408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4" name="DD01300408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5" name="DD01300408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6" name="DD01300408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7" name="DD01300408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8" name="DD01300408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9" name="DD01300408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0" name="DD01300408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1" name="DD01300408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2" name="DD01300408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3" name="DD01300408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4" name="DD01300408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5" name="DD01300408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6" name="DD01300408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7" name="DD01300408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8" name="DD01300408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9" name="DD01300408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0" name="DD01300408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1" name="DD01300408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2" name="DD01300408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3" name="DD01300408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4" name="DD01300408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5" name="DD01300408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6" name="DD01300408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7" name="DD01300408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8" name="DD01300408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9" name="DD01300408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0" name="DD01300408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1" name="DD01300408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2" name="DD01300408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3" name="DD01300408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4" name="DD01300408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5" name="DD01300408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6" name="DD01300408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7" name="DD01300408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8" name="DD01300408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9" name="DD01300408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0" name="DD01300408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1" name="DD01300408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2" name="DD01300408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3" name="DD01300408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4" name="DD01300408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5" name="DD01300408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6" name="DD01300408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7" name="DD01300408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8" name="DD01300408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9" name="DD01300408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0" name="DD01300408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1" name="DD01300408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2" name="DD01300408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3" name="DD01300408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4" name="DD01300408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5" name="DD01300408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6" name="DD01300408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7" name="DD01300408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8" name="DD01300408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9" name="DD01300408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0" name="DD01300408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1" name="DD01300408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2" name="DD01300408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3" name="DD01300408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4" name="DD01300408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5" name="DD01300408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6" name="DD01300408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7" name="DD01300408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8" name="DD01300408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9" name="DD01300408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0" name="DD01300408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1" name="DD01300408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2" name="DD01300408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3" name="DD01300408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4" name="DD01300408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5" name="DD01300408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6" name="DD01300408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7" name="DD01300408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8" name="DD01300408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9" name="DD01300408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0" name="DD01300408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1" name="DD01300408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2" name="DD01300408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3" name="DD01300408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4" name="DD01300408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5" name="DD01300408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6" name="DD01300408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7" name="DD01300408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8" name="DD01300408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9" name="DD01300408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0" name="DD01300408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1" name="DD01300408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2" name="DD01300408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3" name="DD01300408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4" name="DD01300408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5" name="DD01300408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6" name="DD01300408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7" name="DD01300408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8" name="DD01300408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9" name="DD01300408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0" name="DD01300408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1" name="DD01300408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2" name="DD01300408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3" name="DD01300408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4" name="DD01300408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5" name="DD01300408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6" name="DD01300408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7" name="DD01300408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8" name="DD01300408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9" name="DD01300408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0" name="DD01300408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1" name="DD01300409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2" name="DD01300409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3" name="DD01300409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4" name="DD01300409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5" name="DD01300409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6" name="DD01300409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7" name="DD01300409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8" name="DD01300409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9" name="DD01300409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0" name="DD01300409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1" name="DD01300409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2" name="DD01300409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3" name="DD01300409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4" name="DD01300409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5" name="DD01300409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6" name="DD01300409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7" name="DD01300409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8" name="DD01300409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9" name="DD01300409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0" name="DD01300409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1" name="DD01300409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2" name="DD01300409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3" name="DD01300409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4" name="DD01300409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5" name="DD01300409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6" name="DD01300409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7" name="DD01300409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8" name="DD01300409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9" name="DD01300409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0" name="DD01300409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1" name="DD01300409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2" name="DD01300409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3" name="DD01300409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4" name="DD01300409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5" name="DD01300409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6" name="DD01300409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7" name="DD01300409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8" name="DD01300409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9" name="DD01300409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0" name="DD01300409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1" name="DD01300409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2" name="DD01300409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3" name="DD01300409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4" name="DD01300409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5" name="DD01300409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6" name="DD01300409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7" name="DD01300409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8" name="DD01300409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9" name="DD01300409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0" name="DD01300409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1" name="DD01300409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2" name="DD01300409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3" name="DD01300409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4" name="DD01300409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5" name="DD01300409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6" name="DD01300409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7" name="DD01300409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8" name="DD01300409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9" name="DD01300409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0" name="DD01300409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1" name="DD01300409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2" name="DD01300409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3" name="DD01300409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4" name="DD01300409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5" name="DD01300409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6" name="DD01300409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7" name="DD01300409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8" name="DD01300409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9" name="DD01300409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0" name="DD01300409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1" name="DD01300409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2" name="DD01300409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3" name="DD01300409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4" name="DD01300409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5" name="DD01300409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6" name="DD01300409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7" name="DD01300409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8" name="DD01300409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9" name="DD01300409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0" name="DD01300409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1" name="DD01300409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2" name="DD01300409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3" name="DD01300409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4" name="DD01300409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5" name="DD01300409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6" name="DD01300409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7" name="DD01300409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8" name="DD01300409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9" name="DD01300409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0" name="DD01300409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1" name="DD01300409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2" name="DD01300409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3" name="DD01300409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4" name="DD01300409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5" name="DD01300409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6" name="DD01300409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7" name="DD01300409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8" name="DD01300409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9" name="DD01300409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0" name="DD01300409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1" name="DD01300409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2" name="DD01300409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3" name="DD01300409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4" name="DD01300409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5" name="DD01300409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6" name="DD01300409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7" name="DD01300409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8" name="DD01300409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9" name="DD01300409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10" name="DD01300409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11" name="DD013004099911" type="6" refreshedVersion="0" background="1" saveData="1">
    <textPr sourceFile="C:\Documents and Settings\khucltt.KVMN\Desktop\DD0130040.txt" tab="0" delimiter="|">
      <textFields>
        <textField/>
      </textFields>
    </textPr>
  </connection>
</connections>
</file>

<file path=xl/sharedStrings.xml><?xml version="1.0" encoding="utf-8"?>
<sst xmlns="http://schemas.openxmlformats.org/spreadsheetml/2006/main" count="2360" uniqueCount="599">
  <si>
    <t>Mã nhân viên</t>
  </si>
  <si>
    <t>Tên nhân viên</t>
  </si>
  <si>
    <t>Chức vụ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</si>
  <si>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</si>
  <si>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</si>
  <si>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</si>
  <si>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</si>
  <si>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</si>
  <si>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</si>
  <si>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</si>
  <si>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</si>
  <si>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</si>
  <si>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</si>
  <si>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</si>
  <si>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</si>
  <si>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Bảo hiểm xã hội</t>
  </si>
  <si>
    <t>Bảo hiểm y tế</t>
  </si>
  <si>
    <t>Bảo hiểm thất nghiệp</t>
  </si>
  <si>
    <t>Tên doanh mục</t>
  </si>
  <si>
    <t>Hệ số 1</t>
  </si>
  <si>
    <t>Hệ số 2</t>
  </si>
  <si>
    <t>Bậc lương</t>
  </si>
  <si>
    <t>Họ tên</t>
  </si>
  <si>
    <t>Hệ số lương</t>
  </si>
  <si>
    <t>Chức danh</t>
  </si>
  <si>
    <t>Tổng lương</t>
  </si>
  <si>
    <t>Thực lĩnh</t>
  </si>
  <si>
    <t>UỶ BAN NHÂN DÂN TỈNH TÂY NINH</t>
  </si>
  <si>
    <t>BAN QUẢN LÝ VƯỜN QUỐC GIA LÒ GÒ - XA MÁT</t>
  </si>
  <si>
    <t>CỘNG HOÀ XÃ HỘI CHỦ NGHĨA VIỆT NAM</t>
  </si>
  <si>
    <t>Độc lập - Tự do - Hạnh phúc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</si>
  <si>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</si>
  <si>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</si>
  <si>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</si>
  <si>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</si>
  <si>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</si>
  <si>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</si>
  <si>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</si>
  <si>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</si>
  <si>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</si>
  <si>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</si>
  <si>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</si>
  <si>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</si>
  <si>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</si>
  <si>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</si>
  <si>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</si>
  <si>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</si>
  <si>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</si>
  <si>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</si>
  <si>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Cộng:</t>
  </si>
  <si>
    <t>Nguyễn Văn Cường</t>
  </si>
  <si>
    <t>Nguyễn Xuân Hiếu</t>
  </si>
  <si>
    <t>Nguyễn Thị Thanh</t>
  </si>
  <si>
    <t>Nguyễn Thị Cẩm Tú</t>
  </si>
  <si>
    <t>Trần Văn Lành</t>
  </si>
  <si>
    <t>Tạ Ngọc Dân</t>
  </si>
  <si>
    <t>Nguyễn Long Điền</t>
  </si>
  <si>
    <t>Phạm Xuân Thành</t>
  </si>
  <si>
    <t>Hồ Đắc Long</t>
  </si>
  <si>
    <t>Hoàng Văn Hải</t>
  </si>
  <si>
    <t>Huỳnh Hữu Phương</t>
  </si>
  <si>
    <t>Nguyễn Thành Sơn</t>
  </si>
  <si>
    <t>Trần Nam San</t>
  </si>
  <si>
    <t>Nguyễn Thị Tuyết Mai</t>
  </si>
  <si>
    <t>Trần Thị Bạch Minh</t>
  </si>
  <si>
    <t>Võ Văn Đô</t>
  </si>
  <si>
    <t>Nguyễn Văn Giàu</t>
  </si>
  <si>
    <t>Trần Thị Nhung</t>
  </si>
  <si>
    <t>Mã
nhân viên</t>
  </si>
  <si>
    <t>Khu 
vực</t>
  </si>
  <si>
    <t>Trách
nhiệm</t>
  </si>
  <si>
    <t>BAN QUẢN LÝ VƯỜN QUỐC GIA LÒ GÒ - XA MÁT
GIÁM ĐỐC</t>
  </si>
  <si>
    <t>LẬP BIỂU</t>
  </si>
  <si>
    <t>KẾ TOÁN TRƯỞNG</t>
  </si>
  <si>
    <t>Bảo hiểm
y tế</t>
  </si>
  <si>
    <t>Bảo hiểm
xã hội</t>
  </si>
  <si>
    <t>Số tiền</t>
  </si>
  <si>
    <t>Mức lương</t>
  </si>
  <si>
    <t>Tiền lương theo ngạch bâc</t>
  </si>
  <si>
    <t>0113</t>
  </si>
  <si>
    <t>599</t>
  </si>
  <si>
    <t>287</t>
  </si>
  <si>
    <t>6001</t>
  </si>
  <si>
    <t>Tiền lương hợp đồng dài hạn</t>
  </si>
  <si>
    <t>6003</t>
  </si>
  <si>
    <t>Phụ cấp chức vụ</t>
  </si>
  <si>
    <t>6101</t>
  </si>
  <si>
    <t>Tiền công</t>
  </si>
  <si>
    <t>0212</t>
  </si>
  <si>
    <t>6051</t>
  </si>
  <si>
    <t>Tổng cộng:</t>
  </si>
  <si>
    <t>BẢO HIỂM XÃ HỘI VÀ BẢO HIỂM Y TẾ</t>
  </si>
  <si>
    <t>6301</t>
  </si>
  <si>
    <t>6302</t>
  </si>
  <si>
    <t>KINH PHÍ CÔNG ĐOÀN</t>
  </si>
  <si>
    <t>Kinh phí công đoàn</t>
  </si>
  <si>
    <t>6303</t>
  </si>
  <si>
    <t>Số tháng</t>
  </si>
  <si>
    <t>Thành tiền</t>
  </si>
  <si>
    <t>Ngày:</t>
  </si>
  <si>
    <t>0114</t>
  </si>
  <si>
    <t>Ghi chú</t>
  </si>
  <si>
    <t>Tăng lương lần sau</t>
  </si>
  <si>
    <t>TL: 01/01/2013</t>
  </si>
  <si>
    <t>Tháng:</t>
  </si>
  <si>
    <t>BẢNG THANH TOÁN TIỀN LƯƠNG VÀ PHỤ CẤP CÁN BỘ CÔNG NHÂN VIÊN VƯỜN QUỐC GIA LÒ GÒ - XA MÁT</t>
  </si>
  <si>
    <t>31</t>
  </si>
  <si>
    <t>Nguyễn Hoàng Nhu</t>
  </si>
  <si>
    <t>Nguyễn Văn Cường</t>
  </si>
  <si>
    <t>LB_1</t>
  </si>
  <si>
    <t>LB_2</t>
  </si>
  <si>
    <t>LB_3</t>
  </si>
  <si>
    <t>Phụ cấp khác</t>
  </si>
  <si>
    <t>32</t>
  </si>
  <si>
    <t>Vượt khung</t>
  </si>
  <si>
    <t>6117</t>
  </si>
  <si>
    <t>Vuợt khung</t>
  </si>
  <si>
    <t>Chức vụ</t>
  </si>
  <si>
    <t>Mã</t>
  </si>
  <si>
    <t>Tên</t>
  </si>
  <si>
    <t>Hệ số</t>
  </si>
  <si>
    <t>Lương căn bản</t>
  </si>
  <si>
    <t>Bậc lương</t>
  </si>
  <si>
    <t>Bậc 01</t>
  </si>
  <si>
    <t>Bậc 02</t>
  </si>
  <si>
    <t>Bậc 03</t>
  </si>
  <si>
    <t>Bậc 04</t>
  </si>
  <si>
    <t>Bậc 05</t>
  </si>
  <si>
    <t>Bậc 06</t>
  </si>
  <si>
    <t>Bậc 07</t>
  </si>
  <si>
    <t>Bậc 08</t>
  </si>
  <si>
    <t>Bậc 09</t>
  </si>
  <si>
    <t>Bậc 10</t>
  </si>
  <si>
    <t>Bậc 11</t>
  </si>
  <si>
    <t>Bậc 12</t>
  </si>
  <si>
    <t>Vượt khung 1%</t>
  </si>
  <si>
    <t>Vượt khung 2%</t>
  </si>
  <si>
    <t>50</t>
  </si>
  <si>
    <t>Vượt khung 3%</t>
  </si>
  <si>
    <t>Vượt khung 4%</t>
  </si>
  <si>
    <t>Vượt khung 5%</t>
  </si>
  <si>
    <t>Vượt khung 6%</t>
  </si>
  <si>
    <t>Vượt khung 7%</t>
  </si>
  <si>
    <t>Vượt khung 8%</t>
  </si>
  <si>
    <t>Vượt khung 9%</t>
  </si>
  <si>
    <t>Vượt khung 10%</t>
  </si>
  <si>
    <t>Vượt khung 11%</t>
  </si>
  <si>
    <t>Vượt khung 12%</t>
  </si>
  <si>
    <t>Vượt khung 13%</t>
  </si>
  <si>
    <t>Vượt khung 14%</t>
  </si>
  <si>
    <t>Vượt khung 15%</t>
  </si>
  <si>
    <t>Vượt khung 16%</t>
  </si>
  <si>
    <t>Vượt khung 17%</t>
  </si>
  <si>
    <t>Vượt khung 18%</t>
  </si>
  <si>
    <t>Vượt khung 19%</t>
  </si>
  <si>
    <t>Vượt khung 20%</t>
  </si>
  <si>
    <t>Vượt khung 21%</t>
  </si>
  <si>
    <t>Vượt khung 22%</t>
  </si>
  <si>
    <t>Vượt khung 23%</t>
  </si>
  <si>
    <t>Vượt khung 24%</t>
  </si>
  <si>
    <t>Vượt khung 25%</t>
  </si>
  <si>
    <t>Vượt khung 26%</t>
  </si>
  <si>
    <t>Vượt khung 27%</t>
  </si>
  <si>
    <t>Vượt khung 28%</t>
  </si>
  <si>
    <t>Vượt khung 29%</t>
  </si>
  <si>
    <t>Vượt khung 30%</t>
  </si>
  <si>
    <t>Vượt khung 31%</t>
  </si>
  <si>
    <t>Vượt khung 32%</t>
  </si>
  <si>
    <t>Không vượt khung</t>
  </si>
  <si>
    <t>Thâm niên nghề</t>
  </si>
  <si>
    <t>Thâm niên nghề 1%</t>
  </si>
  <si>
    <t>Thâm niên nghề 2%</t>
  </si>
  <si>
    <t>Thâm niên nghề 3%</t>
  </si>
  <si>
    <t>Thâm niên nghề 4%</t>
  </si>
  <si>
    <t>Thâm niên nghề 5%</t>
  </si>
  <si>
    <t>Thâm niên nghề 6%</t>
  </si>
  <si>
    <t>Thâm niên nghề 7%</t>
  </si>
  <si>
    <t>Thâm niên nghề 8%</t>
  </si>
  <si>
    <t>Thâm niên nghề 9%</t>
  </si>
  <si>
    <t>Thâm niên nghề 10%</t>
  </si>
  <si>
    <t>Thâm niên nghề 11%</t>
  </si>
  <si>
    <t>Thâm niên nghề 12%</t>
  </si>
  <si>
    <t>Thâm niên nghề 13%</t>
  </si>
  <si>
    <t>Thâm niên nghề 14%</t>
  </si>
  <si>
    <t>Thâm niên nghề 15%</t>
  </si>
  <si>
    <t>Thâm niên nghề 16%</t>
  </si>
  <si>
    <t>Thâm niên nghề 18%</t>
  </si>
  <si>
    <t>Thâm niên nghề 19%</t>
  </si>
  <si>
    <t>Thâm niên nghề 20%</t>
  </si>
  <si>
    <t>Thâm niên nghề 21%</t>
  </si>
  <si>
    <t>Thâm niên nghề 22%</t>
  </si>
  <si>
    <t>Thâm niên nghề 24%</t>
  </si>
  <si>
    <t>Thâm niên nghề 25%</t>
  </si>
  <si>
    <t>Thâm niên nghề 26%</t>
  </si>
  <si>
    <t>Thâm niên nghề 27%</t>
  </si>
  <si>
    <t>Thâm niên nghề 29%</t>
  </si>
  <si>
    <t>Thâm niên nghề 30%</t>
  </si>
  <si>
    <t>Thâm niên nghề 31%</t>
  </si>
  <si>
    <t>Không thâm niên nghề</t>
  </si>
  <si>
    <t>Thâm niên nghề 17%</t>
  </si>
  <si>
    <t>Thâm niên nghề 23%</t>
  </si>
  <si>
    <t>Thâm niên nghề 28%</t>
  </si>
  <si>
    <t>Thâm niên nghề32%</t>
  </si>
  <si>
    <t>Khu vực</t>
  </si>
  <si>
    <t>Hưởng khu vực</t>
  </si>
  <si>
    <t>Không hưởng khu vực</t>
  </si>
  <si>
    <t>Độc hại</t>
  </si>
  <si>
    <t>Hưởng độc hại</t>
  </si>
  <si>
    <t>Không độc hại</t>
  </si>
  <si>
    <t>Ưu đãi nghề</t>
  </si>
  <si>
    <t>Hưởng 40% ưu đãi nghề</t>
  </si>
  <si>
    <t>Hưởng 20% ưu đãi nghề</t>
  </si>
  <si>
    <t>Không hưởng ưu đãi nghề</t>
  </si>
  <si>
    <t>Kiêm nhiệm</t>
  </si>
  <si>
    <t>Không kiêm nhiệm</t>
  </si>
  <si>
    <t>Phụ kiện hợp đồng</t>
  </si>
  <si>
    <t>Không phụ kiện hợp đồng</t>
  </si>
  <si>
    <t>Bảo hiểm thất nghiệp</t>
  </si>
  <si>
    <t>Nguyễn Văn Thái</t>
  </si>
  <si>
    <t>Lê Thanh Trị</t>
  </si>
  <si>
    <t>Trần Văn Lực</t>
  </si>
  <si>
    <t>Phạm Kim Long</t>
  </si>
  <si>
    <t>Nguyễn Văn Bình</t>
  </si>
  <si>
    <t>Nguyễn Minh Thuận</t>
  </si>
  <si>
    <t>Nguyễn Đức Toàn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</si>
  <si>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</si>
  <si>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</si>
  <si>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</si>
  <si>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</si>
  <si>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</si>
  <si>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</si>
  <si>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</si>
  <si>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</si>
  <si>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</si>
  <si>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Ban lãnh đạo</t>
  </si>
  <si>
    <t>Phòng Kế hoạch - Tài chính</t>
  </si>
  <si>
    <t>Phòng Tổ chức - Hành chính</t>
  </si>
  <si>
    <t>Phòng Kỹ thuật</t>
  </si>
  <si>
    <t>Hạt Kiểm lâm</t>
  </si>
  <si>
    <t>BẢNG THANH TOÁN TIỀN LƯƠNG VÀ PHỤ CẤP HỢP ĐỒNG VỤ VIỆC VƯỜN QUỐC GIA LÒ GÒ - XA MÁT</t>
  </si>
  <si>
    <t>PKHĐ</t>
  </si>
  <si>
    <t>Bảo hiểm thất nghiệp</t>
  </si>
  <si>
    <t>42</t>
  </si>
  <si>
    <t>6115</t>
  </si>
  <si>
    <t>Trách nhiệm</t>
  </si>
  <si>
    <t>Không trách nhiệm</t>
  </si>
  <si>
    <t>Kiêm
nhiệm</t>
  </si>
  <si>
    <t>43</t>
  </si>
  <si>
    <t>44</t>
  </si>
  <si>
    <t>45</t>
  </si>
  <si>
    <t>46</t>
  </si>
  <si>
    <t>Lâm Văn Tâm</t>
  </si>
  <si>
    <t>Nguyễn Thị Hằng</t>
  </si>
  <si>
    <t>Bùi Đông Phú</t>
  </si>
  <si>
    <t>TL: 01/04/2012</t>
  </si>
  <si>
    <t>TL: 01/09/2012</t>
  </si>
  <si>
    <t>Trung tâm du lịch</t>
  </si>
  <si>
    <t>6304</t>
  </si>
  <si>
    <t>47</t>
  </si>
  <si>
    <t>Nguyễn Duy Kỳ</t>
  </si>
  <si>
    <t>Bảo hiểm xã hội (Giữ lại)</t>
  </si>
  <si>
    <t>49</t>
  </si>
  <si>
    <t>Nguyễn Lộc Vĩnh</t>
  </si>
  <si>
    <t>Bùi Thị Oanh</t>
  </si>
  <si>
    <t>GĐ</t>
  </si>
  <si>
    <t>PGĐ</t>
  </si>
  <si>
    <t>TP</t>
  </si>
  <si>
    <t>NV</t>
  </si>
  <si>
    <t>TQ</t>
  </si>
  <si>
    <t>Q.HT</t>
  </si>
  <si>
    <t>P.HT</t>
  </si>
  <si>
    <t>P.TP</t>
  </si>
  <si>
    <t>Khác</t>
  </si>
  <si>
    <t>Tháng 9</t>
  </si>
  <si>
    <t>LB-4</t>
  </si>
  <si>
    <t>Vương Thế Vinh</t>
  </si>
  <si>
    <t>Võ Hoàng Hương</t>
  </si>
  <si>
    <t>Lương BVR (Khoán)</t>
  </si>
  <si>
    <t>30% Nộp cấp trên</t>
  </si>
  <si>
    <t>70% Giữ lại đơn vị</t>
  </si>
  <si>
    <t>1% trích đảng phí</t>
  </si>
  <si>
    <t>Tổng cộng</t>
  </si>
  <si>
    <t>Nguyễn Thanh Xuân</t>
  </si>
  <si>
    <t>Nguyễn Thị Thu Lan</t>
  </si>
  <si>
    <t>Mai Duy Tuân</t>
  </si>
  <si>
    <t>Nguyễn Thị Nhung</t>
  </si>
  <si>
    <t>Lê Văn Nam</t>
  </si>
  <si>
    <t>Trần Văn Phong</t>
  </si>
  <si>
    <t>TL: 01/01/2016</t>
  </si>
  <si>
    <t>Phu cấp 116 70%</t>
  </si>
  <si>
    <t>Phụ cấp 116 50%</t>
  </si>
  <si>
    <t>Khác</t>
  </si>
  <si>
    <t>Phụ câp 116 70%</t>
  </si>
  <si>
    <t>Phụ cấp 116 70%</t>
  </si>
  <si>
    <t>Phụ cấp 116 100%</t>
  </si>
  <si>
    <t>Nội dung</t>
  </si>
  <si>
    <t>Thủ trưởng đơn vị</t>
  </si>
  <si>
    <t>Phụ cấp thu hút</t>
  </si>
  <si>
    <t>Phụ cấp lâu năm</t>
  </si>
  <si>
    <t>Kinh phí công đoàn</t>
  </si>
  <si>
    <t>STT</t>
  </si>
  <si>
    <t>Phu cấp lâu năm</t>
  </si>
  <si>
    <t>Hệ số trợ cấp 70%</t>
  </si>
  <si>
    <t>Trợ cấp lâu năm</t>
  </si>
  <si>
    <t>Số tiền trợ cấp 70%</t>
  </si>
  <si>
    <t>Số tiền trợ cấp lâu năm</t>
  </si>
  <si>
    <t>Thanh tiền</t>
  </si>
  <si>
    <t>BẢNG THANH TOÁN TIIỀN TRỢ CẤP THU HÚT VƯỜN QUỐC GIA LÒ GÒ - XA MÁT</t>
  </si>
  <si>
    <t>Cộng</t>
  </si>
  <si>
    <t>A</t>
  </si>
  <si>
    <t>B</t>
  </si>
  <si>
    <t>4=(1+2+3)</t>
  </si>
  <si>
    <t>5=4*70%</t>
  </si>
  <si>
    <t>9=7+8</t>
  </si>
  <si>
    <t>Huỳnh Tấn Đạt</t>
  </si>
  <si>
    <t>TL: 01/11/2015</t>
  </si>
  <si>
    <t>Trương Văn Thạch</t>
  </si>
  <si>
    <t>Nguyễn Thị Cẩm Nhung</t>
  </si>
  <si>
    <t>HH: 31/03/2014</t>
  </si>
  <si>
    <t>ĐẢNG PHÍ NỘP VÀ TRÍCH ĐẢNG PHÍ</t>
  </si>
  <si>
    <t>HH: 30/06/2014</t>
  </si>
  <si>
    <t>Châu Văn Văn</t>
  </si>
  <si>
    <t>Nguồn kinh phí</t>
  </si>
  <si>
    <t>Dự toán 2014</t>
  </si>
  <si>
    <t>Phân bổ dự toán 2014</t>
  </si>
  <si>
    <t>12 MT</t>
  </si>
  <si>
    <t>12 TX</t>
  </si>
  <si>
    <t>13 TX</t>
  </si>
  <si>
    <t>14 TX</t>
  </si>
  <si>
    <t>Chênh lệch</t>
  </si>
  <si>
    <t>7=5*1.150.000</t>
  </si>
  <si>
    <t>8=6*1.150.000</t>
  </si>
  <si>
    <t>TL: 01/03/2017</t>
  </si>
  <si>
    <t>TL: 01/05/2016</t>
  </si>
  <si>
    <t>TL: 01/11/2016</t>
  </si>
  <si>
    <t>Tổng số</t>
  </si>
  <si>
    <t>Văn phòng</t>
  </si>
  <si>
    <t>Hạt kiểm lâm</t>
  </si>
  <si>
    <t>Trung tâm</t>
  </si>
  <si>
    <t>Hợp đồng dài hạn</t>
  </si>
  <si>
    <t>Hợp đồng theo NĐ: 68</t>
  </si>
  <si>
    <t>Tô Quang</t>
  </si>
  <si>
    <t>TL: 01/01/2018</t>
  </si>
  <si>
    <t>TL: 01/01/2017</t>
  </si>
  <si>
    <t>Nguyễn Minh Phương</t>
  </si>
  <si>
    <t>TL: 01/02/2017</t>
  </si>
  <si>
    <t>TL01/07/2017</t>
  </si>
  <si>
    <t>TL: 01/04/2016</t>
  </si>
  <si>
    <t>TL: 01/06/2017</t>
  </si>
  <si>
    <t>TL: 01/05/2017</t>
  </si>
  <si>
    <t>TL: 01/06/2019</t>
  </si>
  <si>
    <t>BẢNG THANH TOÁN TIỀN CÔNG KHOÁN VIỆC CHO NHÂN VIÊN VƯỜN QUỐC GIA LÒ GÒ - XA MÁT</t>
  </si>
  <si>
    <t>THỦ TRƯỞNG ĐƠN VỊ</t>
  </si>
  <si>
    <t>TL: 01/09/2017</t>
  </si>
  <si>
    <t>TL: 01/09/2018</t>
  </si>
  <si>
    <t>Bảo hiểm
xã hội (8%)</t>
  </si>
  <si>
    <t>Bảo hiểm
y tế (1,5%)</t>
  </si>
  <si>
    <t>Bảo hiểm thất nghiệp (1%)</t>
  </si>
  <si>
    <t>PCLN: 1/12/2016</t>
  </si>
  <si>
    <t>PCLN: 1/8/2016</t>
  </si>
  <si>
    <t>PCLN: 01/11/2016</t>
  </si>
  <si>
    <t>Hợp dồng 68</t>
  </si>
  <si>
    <t>Nguyễn Xuân Phát</t>
  </si>
  <si>
    <t>Đơn vị: Ban quản lý Vườn quốc gia Lò Gò - Xa Mát</t>
  </si>
  <si>
    <t>Mẫu số C11-HD</t>
  </si>
  <si>
    <t>Mã đơn vị có quan hệ với ngân sách: 1029511</t>
  </si>
  <si>
    <t>BẢNG KÊ TRÍCH NỘP CÁC KHOẢN THEO LƯƠNG</t>
  </si>
  <si>
    <t>Số tháng trích BHXH, BHYT, BH thất nghiệp, KPCĐ</t>
  </si>
  <si>
    <t>Tổng quỹ lương trích BHXH, BHYT, BH thất nghiệp, KPCĐ</t>
  </si>
  <si>
    <t>Bảo hiểm xã hội, Bảo hiểm y tế, Bảo hiểm thất nghiệp</t>
  </si>
  <si>
    <t>Trong đó</t>
  </si>
  <si>
    <t>Số phải nộp công đoàn  cấp trên</t>
  </si>
  <si>
    <t>Số được để lại chi tại đơn vị</t>
  </si>
  <si>
    <t>Trích vào  chi phí</t>
  </si>
  <si>
    <t>Trừ vào lương</t>
  </si>
  <si>
    <t>Lập biểu</t>
  </si>
  <si>
    <t>Kế toán trưởng</t>
  </si>
  <si>
    <t>Người lập</t>
  </si>
  <si>
    <t>050031350686</t>
  </si>
  <si>
    <t>Nguyễn Minh Phương</t>
  </si>
  <si>
    <t>050020312995</t>
  </si>
  <si>
    <t>050014083127</t>
  </si>
  <si>
    <t>290476817</t>
  </si>
  <si>
    <t>050008371226</t>
  </si>
  <si>
    <t>Trần Thị Nhung</t>
  </si>
  <si>
    <t>050008373245</t>
  </si>
  <si>
    <t>Nguyễn Văn Giàu</t>
  </si>
  <si>
    <t>050008371951</t>
  </si>
  <si>
    <t>290482599</t>
  </si>
  <si>
    <t>Võ Văn Đô</t>
  </si>
  <si>
    <t>050028489436</t>
  </si>
  <si>
    <t>290941521</t>
  </si>
  <si>
    <t>050028477780</t>
  </si>
  <si>
    <t>050020426346</t>
  </si>
  <si>
    <t>290877433</t>
  </si>
  <si>
    <t>050066739195</t>
  </si>
  <si>
    <t>Trần Thi Bạch Minh</t>
  </si>
  <si>
    <t>050025514642</t>
  </si>
  <si>
    <t>050008373016</t>
  </si>
  <si>
    <t>290762403</t>
  </si>
  <si>
    <t>Nguyễn Thị Tuyết Mai</t>
  </si>
  <si>
    <t>050008372206</t>
  </si>
  <si>
    <t>171187148</t>
  </si>
  <si>
    <t>Phạm Xuân Thành</t>
  </si>
  <si>
    <t>050028511598</t>
  </si>
  <si>
    <t>050008374314</t>
  </si>
  <si>
    <t>290844429</t>
  </si>
  <si>
    <t>050017093816</t>
  </si>
  <si>
    <t>290910545</t>
  </si>
  <si>
    <t>050017093591</t>
  </si>
  <si>
    <t>290499003</t>
  </si>
  <si>
    <t>050017093433</t>
  </si>
  <si>
    <t>050017093700</t>
  </si>
  <si>
    <t>290456679</t>
  </si>
  <si>
    <t>050017093654</t>
  </si>
  <si>
    <t>290586297</t>
  </si>
  <si>
    <t>050075034676</t>
  </si>
  <si>
    <t>050008373148</t>
  </si>
  <si>
    <t>290575032</t>
  </si>
  <si>
    <t>Nguyễn Thành Sơn</t>
  </si>
  <si>
    <t>050048870012</t>
  </si>
  <si>
    <t>050008371382</t>
  </si>
  <si>
    <t>172892590</t>
  </si>
  <si>
    <t>050008371412</t>
  </si>
  <si>
    <t>172707331</t>
  </si>
  <si>
    <t>Hoàng Văn Hải</t>
  </si>
  <si>
    <t>050008371323</t>
  </si>
  <si>
    <t>191423284</t>
  </si>
  <si>
    <t>Hồ Đắc Long</t>
  </si>
  <si>
    <t>050008371064</t>
  </si>
  <si>
    <t>023044668</t>
  </si>
  <si>
    <t>Nguyễn Long Điền</t>
  </si>
  <si>
    <t>050008372532</t>
  </si>
  <si>
    <t>290456680</t>
  </si>
  <si>
    <t>Nguyễn Thị Thanh</t>
  </si>
  <si>
    <t xml:space="preserve"> </t>
  </si>
  <si>
    <t>050008371579</t>
  </si>
  <si>
    <t>Nguyễn Xuân Hiếu</t>
  </si>
  <si>
    <t>290569998</t>
  </si>
  <si>
    <t>Trần Văn Lành</t>
  </si>
  <si>
    <t>050008372648</t>
  </si>
  <si>
    <t>290960767</t>
  </si>
  <si>
    <t>050008370531</t>
  </si>
  <si>
    <t>211248180</t>
  </si>
  <si>
    <t>Tạ Ngọc Dân</t>
  </si>
  <si>
    <t>050008349786</t>
  </si>
  <si>
    <t>290523384</t>
  </si>
  <si>
    <t>Huỳnh Hữu Phương</t>
  </si>
  <si>
    <t>050038308014</t>
  </si>
  <si>
    <t>Thu nợ ( CD)</t>
  </si>
  <si>
    <t>Thu nợ</t>
  </si>
  <si>
    <t>Thu nợ (Cơm)</t>
  </si>
  <si>
    <t>LT</t>
  </si>
  <si>
    <t>Thanh toán bù trừ</t>
  </si>
  <si>
    <t>Tết UBND</t>
  </si>
  <si>
    <t>Điện thoại</t>
  </si>
  <si>
    <t>Cấp ủy</t>
  </si>
  <si>
    <t>Phụ cấp 2-truy pkhđ Tâm</t>
  </si>
  <si>
    <t>Phụ cấp 1</t>
  </si>
  <si>
    <t>Lương 2(luong moi t8)-Phương truy lương t7</t>
  </si>
  <si>
    <t>Lương 1</t>
  </si>
  <si>
    <t>Thực lĩnh</t>
  </si>
  <si>
    <t>Phụ cấp cấp ủy</t>
  </si>
  <si>
    <t xml:space="preserve">Số tài khoản </t>
  </si>
  <si>
    <t>Số CMT</t>
  </si>
  <si>
    <t>Họ Và Tên</t>
  </si>
  <si>
    <t>Phụ cấp cấp khác</t>
  </si>
  <si>
    <t>Lương và phụ cấp</t>
  </si>
  <si>
    <t>DANH SÁCH CẤP LƯƠNG VÀ CÁC KHOẢN THU NHẬP KHÁC QUA TÀI KHOẢN CÁ NHÂN</t>
  </si>
  <si>
    <t>Mã QHNS: 1029511</t>
  </si>
  <si>
    <t>Đơn vị: Ban quản lý Vườn quốc gia Lò Gò- Xa Mát</t>
  </si>
  <si>
    <t>Tiền lương 
(Nguồn 13-282-MDP:200)</t>
  </si>
  <si>
    <t>Phạm Văn Thắng</t>
  </si>
  <si>
    <t>Nguyễn Văn Hoà</t>
  </si>
  <si>
    <t>Võ  Hồng Dưỡng</t>
  </si>
  <si>
    <t>Trương Văn Quốc</t>
  </si>
  <si>
    <t>Trương Hoàng Chung</t>
  </si>
  <si>
    <t>Bùi Đông Nho</t>
  </si>
  <si>
    <t>Tháng</t>
  </si>
  <si>
    <t>Văn</t>
  </si>
  <si>
    <t>Thuận</t>
  </si>
  <si>
    <t>Nguyễn Thị Sa Ly</t>
  </si>
  <si>
    <r>
      <t>Ghi chú</t>
    </r>
    <r>
      <rPr>
        <sz val="10"/>
        <rFont val="Times New Roman"/>
        <family val="1"/>
      </rPr>
      <t>: BHXH, BHYT, BHTN = (Hệ số lương + Chức vụ + Vượt khung + Thâm niên nghề) x1.390.000 x Hệ số BHXH, BHYT, BHTN</t>
    </r>
  </si>
  <si>
    <t xml:space="preserve">Hợp dồng </t>
  </si>
  <si>
    <t>MẪU C18-HD</t>
  </si>
  <si>
    <t>Tiền lương
(Nguồn 12-282-MDP:200)</t>
  </si>
  <si>
    <t>Khoán điện thoại+ rửa xe</t>
  </si>
  <si>
    <t>Nguyễn Thị Sa Ly</t>
  </si>
  <si>
    <t>050089639384</t>
  </si>
  <si>
    <t>050008371455</t>
  </si>
  <si>
    <t>183379060</t>
  </si>
  <si>
    <t>Nguyễn Thị Cẩm Tú</t>
  </si>
  <si>
    <t>C</t>
  </si>
  <si>
    <t>D</t>
  </si>
  <si>
    <t>x</t>
  </si>
  <si>
    <t xml:space="preserve">x </t>
  </si>
  <si>
    <t>(Ban hành kèm theo Thông tư 107/2017/TT-BTC
ngày 10/10/2017 của Bộ Tài Chính)</t>
  </si>
  <si>
    <t>XÁC NHẬN CỦA KBNN TÂY NINH</t>
  </si>
  <si>
    <t xml:space="preserve">Chuyên viên </t>
  </si>
  <si>
    <t>Phụ trách</t>
  </si>
  <si>
    <t>Giám đốc</t>
  </si>
  <si>
    <t>(Ký , họ tên)</t>
  </si>
  <si>
    <t>(Ký , họ tên, đóng dấu)</t>
  </si>
  <si>
    <t>050036138332</t>
  </si>
  <si>
    <t>Tháng 6 năm 2019</t>
  </si>
  <si>
    <t>Phụ cấp công tác phí</t>
  </si>
  <si>
    <t>Số tiền bằng chữ: Một trăm tám mươi một triệu một trăm ba mươi sáu ngàn bảy trăm chín mươi lăm đồng ./.</t>
  </si>
  <si>
    <t>Tây Ninh, ngày 01 tháng 7 năm 2019</t>
  </si>
  <si>
    <t>Tháng 7 Năm 2019</t>
  </si>
  <si>
    <t>0214</t>
  </si>
  <si>
    <t>Họ và tên</t>
  </si>
  <si>
    <t>Lê Ngọc Lâm</t>
  </si>
  <si>
    <t>Phùng Văn Hạnh</t>
  </si>
  <si>
    <t>Nguyễn Phúc Lợi</t>
  </si>
  <si>
    <t>Võ Thanh Hồng</t>
  </si>
  <si>
    <t>Võ Văn Lắm</t>
  </si>
  <si>
    <t>Trần Ngọc Diệp</t>
  </si>
  <si>
    <t>Nguyễn Văn Hoàng</t>
  </si>
  <si>
    <t>Nguyễn Lâm Tới</t>
  </si>
  <si>
    <t>Lê Văn Sang</t>
  </si>
  <si>
    <t>Huỳnh Kim Tân</t>
  </si>
  <si>
    <t>Giáp Ngọc Bình</t>
  </si>
  <si>
    <t>Đào Xuân Gấm</t>
  </si>
  <si>
    <t>Nguyễn Văn Bạo</t>
  </si>
  <si>
    <t>Lê Văn Đây</t>
  </si>
  <si>
    <t>Huỳnh Văn Ly</t>
  </si>
  <si>
    <t>Phan Văn Tấn</t>
  </si>
  <si>
    <t>Trần Thanh Hiền</t>
  </si>
  <si>
    <t>Phạm Minh Nhật</t>
  </si>
  <si>
    <t>Đội trưởng</t>
  </si>
  <si>
    <t>Phạm Văn Lép</t>
  </si>
  <si>
    <t>Trần Tấn Được</t>
  </si>
  <si>
    <t>Hà Văn Ninh</t>
  </si>
  <si>
    <t>Nguyễn Bá Thuận</t>
  </si>
  <si>
    <t>Nguyễn Thành Công</t>
  </si>
  <si>
    <t>Đặng Văn Đỗ</t>
  </si>
  <si>
    <t>Đoàn Phước Tấn</t>
  </si>
  <si>
    <t>Đỗ Văn Hoàn</t>
  </si>
  <si>
    <t xml:space="preserve">Hồ Văn Tiền </t>
  </si>
  <si>
    <t>Nguyễn Văn Tuấn</t>
  </si>
  <si>
    <t xml:space="preserve">Phạm Văn Hoà </t>
  </si>
  <si>
    <t>Nguyễn Hữu Long</t>
  </si>
  <si>
    <t>Thạch Hải</t>
  </si>
  <si>
    <t>Lê Trung Nhân</t>
  </si>
  <si>
    <t>Nguyễn Thanh Hải</t>
  </si>
  <si>
    <t>Võ Hồng Dưỡng</t>
  </si>
  <si>
    <t>Nguyễn Văn Tiền</t>
  </si>
  <si>
    <t>Phan Đức Hạnh</t>
  </si>
  <si>
    <t>Trần Khắc Cường</t>
  </si>
  <si>
    <t>Nguyễn Văn Bắc</t>
  </si>
  <si>
    <t>Tạ Văn Tài</t>
  </si>
  <si>
    <t>Phan Văn Phong</t>
  </si>
  <si>
    <t>Tạ Minh Tân</t>
  </si>
  <si>
    <t>Huỳnh Công Luận</t>
  </si>
  <si>
    <t>Nguyễn Huy Thắng</t>
  </si>
  <si>
    <t>Trần Văn Tiến</t>
  </si>
  <si>
    <t>Nguyễn Văn Trung</t>
  </si>
  <si>
    <t xml:space="preserve">Nguyễn Văn Quốc </t>
  </si>
  <si>
    <t>Hồ Thanh Giang</t>
  </si>
  <si>
    <t>Danh Văn Tánh</t>
  </si>
  <si>
    <t>Nguyễn Đình Tân</t>
  </si>
  <si>
    <t>Nguyễn Thị Saly</t>
  </si>
  <si>
    <t>Lê Văn Dinh</t>
  </si>
  <si>
    <t>Đoàn Thị Kim Dung</t>
  </si>
  <si>
    <t>Nguyễn Văn Trưng</t>
  </si>
  <si>
    <t>Nguyễn Giang Bằng</t>
  </si>
  <si>
    <t>Nguyễn Văn Sách</t>
  </si>
  <si>
    <t>Trần Minh Lộc</t>
  </si>
  <si>
    <t>Bùi Bảo Anh</t>
  </si>
  <si>
    <t>Nguyễn Văn Minh</t>
  </si>
  <si>
    <t>Hồ Tấn Sang</t>
  </si>
  <si>
    <t>Đỗ Hồng Nhân</t>
  </si>
  <si>
    <t>Trần Thanh Nhờ</t>
  </si>
  <si>
    <t>Tạ Quốc Trung</t>
  </si>
  <si>
    <t>Trần Văn Thắng</t>
  </si>
  <si>
    <t>Đơn vị công tác</t>
  </si>
  <si>
    <t>Phòng TCHC</t>
  </si>
  <si>
    <t>Nhân viên HĐ 68</t>
  </si>
  <si>
    <t>Đội QLBVR Tân Lập</t>
  </si>
  <si>
    <t>Đội QLBVR Trung Tâm</t>
  </si>
  <si>
    <t>Đội QLBVR Hòa Hiệp</t>
  </si>
  <si>
    <t>Đội QLBVR Biên Giới</t>
  </si>
  <si>
    <t>Đội QLBVR Lò Gò</t>
  </si>
  <si>
    <t>Đội QLBVR Bàu Bền</t>
  </si>
  <si>
    <t>Đội QLBVR Chàng Riệc</t>
  </si>
  <si>
    <t>Đội QLBVR Xa Mát</t>
  </si>
  <si>
    <t>Phạm Văn Lành</t>
  </si>
  <si>
    <t>Hợp đồng BVR</t>
  </si>
  <si>
    <t>Hợp đồng chuyên trách BVR</t>
  </si>
  <si>
    <t>Phạm Thanh Thủy</t>
  </si>
  <si>
    <t>Tự xếp loại</t>
  </si>
  <si>
    <t>Tập thể xếp loại</t>
  </si>
  <si>
    <t>Thủ trưởng đơn vị xếp loại</t>
  </si>
  <si>
    <t>HĐ CTBVR</t>
  </si>
  <si>
    <t xml:space="preserve">Đề xuất của trưởng phòng </t>
  </si>
  <si>
    <t>Chốt trưởng</t>
  </si>
  <si>
    <t>Đội phó</t>
  </si>
  <si>
    <t>Thủ trưởng xếp loại</t>
  </si>
  <si>
    <t>DANH SÁCH XẾP LOẠI HỢP ĐỒNG LAO ĐỘNG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</si>
</sst>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\ _₫_-;\-* #,##0\ _₫_-;_-* &quot;-&quot;\ _₫_-;_-@_-"/>
    <numFmt numFmtId="166" formatCode="_(* #,##0_);_(* \(#,##0\);_(* &quot;-&quot;_);_(@_)"/>
    <numFmt numFmtId="167" formatCode="_(* #,##0.00_);_(* \(#,##0.00\);_(* &quot;-&quot;??_);_(@_)"/>
    <numFmt numFmtId="168" formatCode="_(* #,##0.0000_);_(* \(#,##0.0000\);_(* &quot;-&quot;????_);_(@_)"/>
    <numFmt numFmtId="169" formatCode="_(* #,##0.00_);_(* \(#,##0.00\);_(* &quot;-&quot;_);_(@_)"/>
    <numFmt numFmtId="170" formatCode="_(* #,##0.000_);_(* \(#,##0.000\);_(* &quot;-&quot;_);_(@_)"/>
    <numFmt numFmtId="171" formatCode="_(* #,##0_);_(* \(#,##0\);_(* &quot;-&quot;??_);_(@_)"/>
    <numFmt numFmtId="172" formatCode="_-* #,##0.00\ _þ_-;\-* #,##0.00\ _þ_-;_-* &quot;-&quot;??\ _þ_-;_-@_-"/>
    <numFmt numFmtId="173" formatCode="_(* #,##0.0_);_(* \(#,##0.0\);_(* &quot;-&quot;??_);_(@_)"/>
    <numFmt numFmtId="174" formatCode="0.0%"/>
    <numFmt numFmtId="175" formatCode="_(* #,##0.000000_);_(* \(#,##0.000000\);_(* &quot;-&quot;??????_);_(@_)"/>
    <numFmt numFmtId="176" formatCode="_-* #,##0.0000\ _₫_-;\-* #,##0.0000\ _₫_-;_-* &quot;-&quot;????\ _₫_-;_-@_-"/>
    <numFmt numFmtId="177" formatCode="#,##0.000"/>
    <numFmt numFmtId="178" formatCode="_(* #,##0.0_);_(* \(#,##0.0\);_(* &quot;-&quot;????_);_(@_)"/>
  </numFmts>
  <fonts count="3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b/>
      <sz val="13"/>
      <name val="Times New Roman"/>
      <family val="1"/>
    </font>
    <font>
      <i/>
      <sz val="10"/>
      <name val="Times New Roman"/>
      <family val="1"/>
    </font>
    <font>
      <b/>
      <sz val="10"/>
      <color indexed="12"/>
      <name val="Times New Roman"/>
      <family val="1"/>
    </font>
    <font>
      <sz val="10"/>
      <color indexed="10"/>
      <name val="Times New Roman"/>
      <family val="1"/>
    </font>
    <font>
      <sz val="10"/>
      <color indexed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color indexed="9"/>
      <name val="Times New Roman"/>
      <family val="1"/>
    </font>
    <font>
      <sz val="11"/>
      <color indexed="8"/>
      <name val="Calibri"/>
      <family val="2"/>
    </font>
    <font>
      <b/>
      <sz val="16"/>
      <name val="Times New Roman"/>
      <family val="1"/>
    </font>
    <font>
      <b/>
      <sz val="8"/>
      <color indexed="10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Times New Roman"/>
      <family val="1"/>
    </font>
    <font>
      <b/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2"/>
    </font>
    <font>
      <sz val="10"/>
      <name val="Arial"/>
      <family val="2"/>
    </font>
    <font>
      <sz val="12"/>
      <name val="Times New Roman"/>
      <family val="1"/>
    </font>
    <font>
      <sz val="13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i/>
      <sz val="12"/>
      <name val="Times New Roman"/>
      <family val="1"/>
    </font>
    <font>
      <sz val="12"/>
      <color indexed="43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7" fillId="0" borderId="0" applyFont="0" applyFill="0" applyBorder="0" applyAlignment="0" applyProtection="0"/>
    <xf numFmtId="172" fontId="14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25" fillId="0" borderId="0"/>
    <xf numFmtId="0" fontId="1" fillId="0" borderId="0"/>
    <xf numFmtId="0" fontId="33" fillId="0" borderId="0"/>
    <xf numFmtId="0" fontId="27" fillId="0" borderId="0"/>
    <xf numFmtId="0" fontId="1" fillId="0" borderId="0"/>
  </cellStyleXfs>
  <cellXfs count="318">
    <xf numFmtId="0" fontId="0" fillId="0" borderId="0" xfId="0"/>
    <xf numFmtId="0" fontId="2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4" fillId="0" borderId="0" xfId="0" applyNumberFormat="1" applyFont="1"/>
    <xf numFmtId="166" fontId="2" fillId="0" borderId="0" xfId="0" applyNumberFormat="1" applyFont="1"/>
    <xf numFmtId="10" fontId="2" fillId="0" borderId="0" xfId="0" applyNumberFormat="1" applyFont="1"/>
    <xf numFmtId="9" fontId="2" fillId="0" borderId="0" xfId="0" applyNumberFormat="1" applyFont="1"/>
    <xf numFmtId="0" fontId="4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/>
    <xf numFmtId="167" fontId="2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/>
    <xf numFmtId="167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0" fontId="4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167" fontId="0" fillId="0" borderId="1" xfId="0" applyNumberFormat="1" applyBorder="1"/>
    <xf numFmtId="0" fontId="9" fillId="0" borderId="1" xfId="0" applyNumberFormat="1" applyFont="1" applyBorder="1"/>
    <xf numFmtId="167" fontId="9" fillId="0" borderId="1" xfId="0" applyNumberFormat="1" applyFont="1" applyBorder="1"/>
    <xf numFmtId="0" fontId="9" fillId="0" borderId="0" xfId="0" applyNumberFormat="1" applyFont="1"/>
    <xf numFmtId="167" fontId="9" fillId="0" borderId="0" xfId="0" applyNumberFormat="1" applyFont="1"/>
    <xf numFmtId="9" fontId="0" fillId="0" borderId="1" xfId="0" applyNumberFormat="1" applyBorder="1"/>
    <xf numFmtId="168" fontId="9" fillId="0" borderId="1" xfId="0" applyNumberFormat="1" applyFont="1" applyBorder="1"/>
    <xf numFmtId="0" fontId="4" fillId="0" borderId="2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vertical="center"/>
    </xf>
    <xf numFmtId="167" fontId="11" fillId="0" borderId="1" xfId="0" applyNumberFormat="1" applyFont="1" applyBorder="1" applyAlignment="1">
      <alignment vertical="center"/>
    </xf>
    <xf numFmtId="168" fontId="11" fillId="0" borderId="1" xfId="0" applyNumberFormat="1" applyFont="1" applyBorder="1" applyAlignment="1">
      <alignment vertical="center"/>
    </xf>
    <xf numFmtId="166" fontId="11" fillId="0" borderId="1" xfId="0" applyNumberFormat="1" applyFont="1" applyBorder="1" applyAlignment="1">
      <alignment vertical="center"/>
    </xf>
    <xf numFmtId="0" fontId="11" fillId="0" borderId="0" xfId="0" applyNumberFormat="1" applyFont="1" applyAlignment="1">
      <alignment vertical="center"/>
    </xf>
    <xf numFmtId="0" fontId="12" fillId="0" borderId="3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Border="1" applyAlignment="1">
      <alignment vertical="center"/>
    </xf>
    <xf numFmtId="168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3" xfId="0" applyNumberFormat="1" applyFont="1" applyBorder="1" applyAlignment="1">
      <alignment vertical="center"/>
    </xf>
    <xf numFmtId="166" fontId="9" fillId="0" borderId="1" xfId="0" applyNumberFormat="1" applyFont="1" applyBorder="1"/>
    <xf numFmtId="166" fontId="9" fillId="0" borderId="0" xfId="0" applyNumberFormat="1" applyFont="1"/>
    <xf numFmtId="0" fontId="12" fillId="0" borderId="4" xfId="0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166" fontId="8" fillId="0" borderId="0" xfId="0" applyNumberFormat="1" applyFont="1"/>
    <xf numFmtId="166" fontId="4" fillId="0" borderId="0" xfId="0" applyNumberFormat="1" applyFont="1" applyAlignment="1"/>
    <xf numFmtId="9" fontId="10" fillId="0" borderId="1" xfId="0" applyNumberFormat="1" applyFont="1" applyBorder="1" applyAlignment="1">
      <alignment horizontal="center" vertical="center" wrapText="1"/>
    </xf>
    <xf numFmtId="166" fontId="2" fillId="0" borderId="0" xfId="1" applyNumberFormat="1" applyFont="1"/>
    <xf numFmtId="166" fontId="4" fillId="2" borderId="0" xfId="0" applyNumberFormat="1" applyFont="1" applyFill="1" applyAlignment="1">
      <alignment horizontal="center"/>
    </xf>
    <xf numFmtId="166" fontId="8" fillId="0" borderId="0" xfId="0" applyNumberFormat="1" applyFont="1" applyAlignment="1"/>
    <xf numFmtId="0" fontId="4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wrapText="1"/>
    </xf>
    <xf numFmtId="0" fontId="5" fillId="0" borderId="5" xfId="0" applyNumberFormat="1" applyFont="1" applyBorder="1" applyAlignment="1">
      <alignment vertical="top" wrapText="1"/>
    </xf>
    <xf numFmtId="0" fontId="12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horizontal="right" vertical="center"/>
    </xf>
    <xf numFmtId="167" fontId="12" fillId="0" borderId="0" xfId="0" applyNumberFormat="1" applyFont="1" applyBorder="1" applyAlignment="1">
      <alignment vertical="center"/>
    </xf>
    <xf numFmtId="168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9" fillId="0" borderId="0" xfId="0" applyNumberFormat="1" applyFont="1"/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164" fontId="20" fillId="0" borderId="0" xfId="0" applyNumberFormat="1" applyFont="1"/>
    <xf numFmtId="0" fontId="12" fillId="0" borderId="1" xfId="0" applyNumberFormat="1" applyFont="1" applyBorder="1" applyAlignment="1">
      <alignment vertical="center"/>
    </xf>
    <xf numFmtId="167" fontId="11" fillId="0" borderId="0" xfId="0" applyNumberFormat="1" applyFont="1" applyAlignment="1">
      <alignment vertical="center"/>
    </xf>
    <xf numFmtId="168" fontId="2" fillId="0" borderId="0" xfId="0" applyNumberFormat="1" applyFont="1"/>
    <xf numFmtId="166" fontId="2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/>
    <xf numFmtId="0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0" fontId="11" fillId="0" borderId="0" xfId="0" applyNumberFormat="1" applyFont="1" applyFill="1" applyAlignment="1">
      <alignment vertical="center"/>
    </xf>
    <xf numFmtId="0" fontId="11" fillId="0" borderId="1" xfId="0" applyNumberFormat="1" applyFont="1" applyFill="1" applyBorder="1" applyAlignment="1">
      <alignment vertical="center"/>
    </xf>
    <xf numFmtId="167" fontId="11" fillId="0" borderId="1" xfId="0" applyNumberFormat="1" applyFont="1" applyFill="1" applyBorder="1" applyAlignment="1">
      <alignment vertical="center"/>
    </xf>
    <xf numFmtId="168" fontId="11" fillId="0" borderId="1" xfId="0" applyNumberFormat="1" applyFont="1" applyFill="1" applyBorder="1" applyAlignment="1">
      <alignment vertical="center"/>
    </xf>
    <xf numFmtId="166" fontId="11" fillId="0" borderId="1" xfId="0" applyNumberFormat="1" applyFont="1" applyFill="1" applyBorder="1" applyAlignment="1">
      <alignment vertical="center"/>
    </xf>
    <xf numFmtId="166" fontId="11" fillId="0" borderId="0" xfId="0" applyNumberFormat="1" applyFont="1" applyAlignment="1">
      <alignment vertical="center"/>
    </xf>
    <xf numFmtId="0" fontId="2" fillId="2" borderId="1" xfId="0" applyNumberFormat="1" applyFont="1" applyFill="1" applyBorder="1"/>
    <xf numFmtId="166" fontId="12" fillId="0" borderId="0" xfId="0" applyNumberFormat="1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/>
    <xf numFmtId="167" fontId="2" fillId="2" borderId="1" xfId="0" applyNumberFormat="1" applyFont="1" applyFill="1" applyBorder="1"/>
    <xf numFmtId="167" fontId="9" fillId="2" borderId="1" xfId="0" applyNumberFormat="1" applyFont="1" applyFill="1" applyBorder="1"/>
    <xf numFmtId="168" fontId="9" fillId="2" borderId="1" xfId="0" applyNumberFormat="1" applyFont="1" applyFill="1" applyBorder="1"/>
    <xf numFmtId="0" fontId="2" fillId="2" borderId="0" xfId="0" applyNumberFormat="1" applyFont="1" applyFill="1"/>
    <xf numFmtId="171" fontId="12" fillId="0" borderId="1" xfId="0" applyNumberFormat="1" applyFont="1" applyBorder="1" applyAlignment="1">
      <alignment vertical="center"/>
    </xf>
    <xf numFmtId="169" fontId="12" fillId="0" borderId="1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7" fontId="2" fillId="0" borderId="0" xfId="1" applyFont="1"/>
    <xf numFmtId="167" fontId="7" fillId="0" borderId="0" xfId="1" applyFont="1" applyAlignment="1">
      <alignment vertical="center"/>
    </xf>
    <xf numFmtId="167" fontId="2" fillId="0" borderId="0" xfId="1" applyFont="1" applyAlignment="1">
      <alignment vertical="center"/>
    </xf>
    <xf numFmtId="167" fontId="2" fillId="0" borderId="0" xfId="0" applyNumberFormat="1" applyFont="1" applyAlignment="1">
      <alignment vertical="center"/>
    </xf>
    <xf numFmtId="171" fontId="2" fillId="0" borderId="0" xfId="1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171" fontId="7" fillId="0" borderId="0" xfId="0" applyNumberFormat="1" applyFont="1" applyAlignment="1">
      <alignment vertical="center"/>
    </xf>
    <xf numFmtId="0" fontId="2" fillId="0" borderId="1" xfId="0" applyNumberFormat="1" applyFont="1" applyFill="1" applyBorder="1"/>
    <xf numFmtId="168" fontId="11" fillId="0" borderId="0" xfId="0" applyNumberFormat="1" applyFont="1" applyAlignment="1">
      <alignment vertical="center"/>
    </xf>
    <xf numFmtId="174" fontId="2" fillId="0" borderId="0" xfId="0" applyNumberFormat="1" applyFont="1"/>
    <xf numFmtId="166" fontId="34" fillId="0" borderId="0" xfId="6" applyNumberFormat="1" applyFont="1"/>
    <xf numFmtId="0" fontId="25" fillId="0" borderId="0" xfId="6"/>
    <xf numFmtId="166" fontId="25" fillId="0" borderId="0" xfId="6" applyNumberFormat="1"/>
    <xf numFmtId="0" fontId="34" fillId="0" borderId="1" xfId="6" applyFont="1" applyBorder="1" applyAlignment="1">
      <alignment horizontal="justify" vertical="center" wrapText="1"/>
    </xf>
    <xf numFmtId="166" fontId="34" fillId="0" borderId="1" xfId="6" applyNumberFormat="1" applyFont="1" applyBorder="1" applyAlignment="1">
      <alignment horizontal="justify" vertical="center" wrapText="1"/>
    </xf>
    <xf numFmtId="166" fontId="2" fillId="0" borderId="1" xfId="6" applyNumberFormat="1" applyFont="1" applyBorder="1" applyAlignment="1">
      <alignment horizontal="justify" vertical="center" wrapText="1"/>
    </xf>
    <xf numFmtId="166" fontId="35" fillId="0" borderId="1" xfId="6" applyNumberFormat="1" applyFont="1" applyBorder="1" applyAlignment="1">
      <alignment horizontal="justify" vertical="center" wrapText="1"/>
    </xf>
    <xf numFmtId="175" fontId="34" fillId="0" borderId="0" xfId="6" applyNumberFormat="1" applyFont="1"/>
    <xf numFmtId="166" fontId="2" fillId="0" borderId="0" xfId="6" applyNumberFormat="1" applyFont="1" applyAlignment="1">
      <alignment horizontal="center" vertical="center"/>
    </xf>
    <xf numFmtId="167" fontId="2" fillId="0" borderId="0" xfId="6" applyNumberFormat="1" applyFont="1" applyAlignment="1">
      <alignment horizontal="center" vertical="center"/>
    </xf>
    <xf numFmtId="0" fontId="26" fillId="0" borderId="0" xfId="9" applyFont="1"/>
    <xf numFmtId="176" fontId="26" fillId="0" borderId="0" xfId="9" applyNumberFormat="1" applyFont="1"/>
    <xf numFmtId="176" fontId="26" fillId="0" borderId="0" xfId="9" applyNumberFormat="1" applyFont="1" applyFill="1"/>
    <xf numFmtId="176" fontId="26" fillId="2" borderId="0" xfId="9" applyNumberFormat="1" applyFont="1" applyFill="1"/>
    <xf numFmtId="177" fontId="26" fillId="0" borderId="0" xfId="3" applyNumberFormat="1" applyFont="1" applyFill="1"/>
    <xf numFmtId="164" fontId="26" fillId="0" borderId="0" xfId="9" applyNumberFormat="1" applyFont="1" applyFill="1"/>
    <xf numFmtId="0" fontId="26" fillId="0" borderId="0" xfId="9" applyFont="1" applyFill="1"/>
    <xf numFmtId="171" fontId="26" fillId="0" borderId="0" xfId="3" applyNumberFormat="1" applyFont="1"/>
    <xf numFmtId="49" fontId="26" fillId="0" borderId="0" xfId="9" applyNumberFormat="1" applyFont="1"/>
    <xf numFmtId="166" fontId="26" fillId="0" borderId="0" xfId="9" applyNumberFormat="1" applyFont="1"/>
    <xf numFmtId="164" fontId="28" fillId="0" borderId="0" xfId="9" applyNumberFormat="1" applyFont="1" applyFill="1"/>
    <xf numFmtId="164" fontId="26" fillId="0" borderId="0" xfId="9" applyNumberFormat="1" applyFont="1"/>
    <xf numFmtId="0" fontId="26" fillId="0" borderId="0" xfId="9" applyFont="1" applyAlignment="1">
      <alignment horizontal="center"/>
    </xf>
    <xf numFmtId="176" fontId="29" fillId="2" borderId="0" xfId="9" applyNumberFormat="1" applyFont="1" applyFill="1"/>
    <xf numFmtId="164" fontId="29" fillId="2" borderId="0" xfId="9" applyNumberFormat="1" applyFont="1" applyFill="1"/>
    <xf numFmtId="168" fontId="26" fillId="0" borderId="0" xfId="9" applyNumberFormat="1" applyFont="1"/>
    <xf numFmtId="0" fontId="21" fillId="0" borderId="0" xfId="9" applyFont="1"/>
    <xf numFmtId="176" fontId="21" fillId="0" borderId="0" xfId="9" applyNumberFormat="1" applyFont="1"/>
    <xf numFmtId="176" fontId="21" fillId="0" borderId="0" xfId="9" applyNumberFormat="1" applyFont="1" applyFill="1"/>
    <xf numFmtId="176" fontId="21" fillId="2" borderId="0" xfId="9" applyNumberFormat="1" applyFont="1" applyFill="1"/>
    <xf numFmtId="177" fontId="21" fillId="0" borderId="0" xfId="3" applyNumberFormat="1" applyFont="1" applyFill="1"/>
    <xf numFmtId="164" fontId="29" fillId="0" borderId="0" xfId="9" applyNumberFormat="1" applyFont="1" applyFill="1"/>
    <xf numFmtId="164" fontId="21" fillId="0" borderId="0" xfId="9" applyNumberFormat="1" applyFont="1" applyFill="1"/>
    <xf numFmtId="3" fontId="26" fillId="0" borderId="0" xfId="9" applyNumberFormat="1" applyFont="1"/>
    <xf numFmtId="171" fontId="21" fillId="0" borderId="0" xfId="3" applyNumberFormat="1" applyFont="1" applyBorder="1" applyAlignment="1">
      <alignment horizontal="left"/>
    </xf>
    <xf numFmtId="49" fontId="21" fillId="0" borderId="0" xfId="9" applyNumberFormat="1" applyFont="1" applyBorder="1" applyAlignment="1">
      <alignment horizontal="left"/>
    </xf>
    <xf numFmtId="0" fontId="21" fillId="0" borderId="0" xfId="9" applyFont="1" applyBorder="1" applyAlignment="1">
      <alignment horizontal="left"/>
    </xf>
    <xf numFmtId="0" fontId="21" fillId="0" borderId="0" xfId="9" applyFont="1" applyBorder="1" applyAlignment="1">
      <alignment horizontal="center"/>
    </xf>
    <xf numFmtId="171" fontId="21" fillId="0" borderId="1" xfId="3" applyNumberFormat="1" applyFont="1" applyBorder="1" applyAlignment="1">
      <alignment horizontal="left"/>
    </xf>
    <xf numFmtId="0" fontId="36" fillId="0" borderId="0" xfId="9" applyFont="1"/>
    <xf numFmtId="176" fontId="36" fillId="0" borderId="0" xfId="9" applyNumberFormat="1" applyFont="1"/>
    <xf numFmtId="176" fontId="36" fillId="0" borderId="0" xfId="9" applyNumberFormat="1" applyFont="1" applyFill="1"/>
    <xf numFmtId="176" fontId="37" fillId="0" borderId="0" xfId="9" applyNumberFormat="1" applyFont="1" applyFill="1"/>
    <xf numFmtId="176" fontId="37" fillId="2" borderId="0" xfId="9" applyNumberFormat="1" applyFont="1" applyFill="1"/>
    <xf numFmtId="177" fontId="37" fillId="0" borderId="0" xfId="3" applyNumberFormat="1" applyFont="1" applyFill="1"/>
    <xf numFmtId="164" fontId="37" fillId="0" borderId="1" xfId="9" applyNumberFormat="1" applyFont="1" applyFill="1" applyBorder="1"/>
    <xf numFmtId="171" fontId="26" fillId="0" borderId="1" xfId="3" applyNumberFormat="1" applyFont="1" applyBorder="1"/>
    <xf numFmtId="166" fontId="26" fillId="0" borderId="1" xfId="9" applyNumberFormat="1" applyFont="1" applyBorder="1" applyAlignment="1">
      <alignment horizontal="right"/>
    </xf>
    <xf numFmtId="166" fontId="26" fillId="0" borderId="1" xfId="9" applyNumberFormat="1" applyFont="1" applyBorder="1"/>
    <xf numFmtId="171" fontId="36" fillId="0" borderId="1" xfId="3" applyNumberFormat="1" applyFont="1" applyBorder="1"/>
    <xf numFmtId="49" fontId="26" fillId="0" borderId="1" xfId="9" applyNumberFormat="1" applyFont="1" applyBorder="1"/>
    <xf numFmtId="0" fontId="36" fillId="0" borderId="1" xfId="9" applyFont="1" applyBorder="1" applyAlignment="1" applyProtection="1">
      <alignment horizontal="left" vertical="center"/>
    </xf>
    <xf numFmtId="0" fontId="26" fillId="0" borderId="1" xfId="9" applyFont="1" applyBorder="1" applyAlignment="1" applyProtection="1">
      <alignment horizontal="left" vertical="center"/>
    </xf>
    <xf numFmtId="49" fontId="26" fillId="0" borderId="1" xfId="9" applyNumberFormat="1" applyFont="1" applyBorder="1" applyAlignment="1">
      <alignment horizontal="center" vertical="center"/>
    </xf>
    <xf numFmtId="49" fontId="26" fillId="0" borderId="1" xfId="9" quotePrefix="1" applyNumberFormat="1" applyFont="1" applyBorder="1"/>
    <xf numFmtId="0" fontId="26" fillId="0" borderId="1" xfId="9" applyFont="1" applyFill="1" applyBorder="1" applyAlignment="1" applyProtection="1">
      <alignment horizontal="left" vertical="center"/>
    </xf>
    <xf numFmtId="166" fontId="26" fillId="0" borderId="1" xfId="9" applyNumberFormat="1" applyFont="1" applyBorder="1" applyAlignment="1">
      <alignment vertical="center"/>
    </xf>
    <xf numFmtId="176" fontId="31" fillId="0" borderId="0" xfId="9" applyNumberFormat="1" applyFont="1" applyFill="1"/>
    <xf numFmtId="176" fontId="26" fillId="0" borderId="0" xfId="9" quotePrefix="1" applyNumberFormat="1" applyFont="1" applyFill="1"/>
    <xf numFmtId="0" fontId="21" fillId="0" borderId="0" xfId="9" applyFont="1" applyAlignment="1">
      <alignment horizontal="center" vertical="center"/>
    </xf>
    <xf numFmtId="176" fontId="21" fillId="0" borderId="0" xfId="9" applyNumberFormat="1" applyFont="1" applyAlignment="1">
      <alignment horizontal="center" vertical="center"/>
    </xf>
    <xf numFmtId="176" fontId="21" fillId="0" borderId="0" xfId="9" applyNumberFormat="1" applyFont="1" applyFill="1" applyAlignment="1">
      <alignment horizontal="center" vertical="center"/>
    </xf>
    <xf numFmtId="176" fontId="29" fillId="2" borderId="0" xfId="9" applyNumberFormat="1" applyFont="1" applyFill="1" applyAlignment="1">
      <alignment horizontal="center" vertical="center"/>
    </xf>
    <xf numFmtId="176" fontId="21" fillId="2" borderId="0" xfId="9" applyNumberFormat="1" applyFont="1" applyFill="1" applyAlignment="1">
      <alignment horizontal="center" vertical="center"/>
    </xf>
    <xf numFmtId="177" fontId="29" fillId="0" borderId="0" xfId="3" applyNumberFormat="1" applyFont="1" applyFill="1" applyAlignment="1">
      <alignment horizontal="center" vertical="center"/>
    </xf>
    <xf numFmtId="164" fontId="21" fillId="0" borderId="0" xfId="9" applyNumberFormat="1" applyFont="1" applyFill="1" applyAlignment="1">
      <alignment horizontal="center" vertical="center"/>
    </xf>
    <xf numFmtId="0" fontId="21" fillId="0" borderId="1" xfId="9" applyFont="1" applyBorder="1" applyAlignment="1">
      <alignment horizontal="center" vertical="center"/>
    </xf>
    <xf numFmtId="3" fontId="21" fillId="0" borderId="1" xfId="9" applyNumberFormat="1" applyFont="1" applyBorder="1" applyAlignment="1">
      <alignment horizontal="center" vertical="center" wrapText="1"/>
    </xf>
    <xf numFmtId="171" fontId="21" fillId="0" borderId="1" xfId="3" applyNumberFormat="1" applyFont="1" applyBorder="1" applyAlignment="1">
      <alignment horizontal="center" vertical="center" wrapText="1"/>
    </xf>
    <xf numFmtId="49" fontId="21" fillId="0" borderId="1" xfId="9" applyNumberFormat="1" applyFont="1" applyBorder="1" applyAlignment="1">
      <alignment horizontal="center" vertical="center"/>
    </xf>
    <xf numFmtId="3" fontId="21" fillId="0" borderId="1" xfId="9" applyNumberFormat="1" applyFont="1" applyBorder="1" applyAlignment="1">
      <alignment horizontal="center" vertical="center"/>
    </xf>
    <xf numFmtId="176" fontId="26" fillId="0" borderId="0" xfId="9" applyNumberFormat="1" applyFont="1" applyFill="1" applyAlignment="1">
      <alignment horizontal="center"/>
    </xf>
    <xf numFmtId="0" fontId="21" fillId="0" borderId="0" xfId="9" applyFont="1" applyAlignment="1"/>
    <xf numFmtId="170" fontId="11" fillId="0" borderId="0" xfId="0" applyNumberFormat="1" applyFont="1" applyAlignment="1">
      <alignment vertical="center"/>
    </xf>
    <xf numFmtId="0" fontId="38" fillId="4" borderId="0" xfId="6" applyFont="1" applyFill="1"/>
    <xf numFmtId="49" fontId="12" fillId="0" borderId="4" xfId="0" applyNumberFormat="1" applyFont="1" applyBorder="1" applyAlignment="1">
      <alignment horizontal="left" vertical="center"/>
    </xf>
    <xf numFmtId="0" fontId="10" fillId="0" borderId="7" xfId="0" applyNumberFormat="1" applyFont="1" applyBorder="1" applyAlignment="1">
      <alignment horizontal="center" vertical="center" wrapText="1"/>
    </xf>
    <xf numFmtId="170" fontId="12" fillId="0" borderId="0" xfId="0" applyNumberFormat="1" applyFont="1" applyAlignment="1">
      <alignment vertical="center"/>
    </xf>
    <xf numFmtId="167" fontId="25" fillId="0" borderId="0" xfId="1" applyFont="1"/>
    <xf numFmtId="173" fontId="25" fillId="0" borderId="0" xfId="1" applyNumberFormat="1" applyFont="1"/>
    <xf numFmtId="171" fontId="25" fillId="0" borderId="0" xfId="1" applyNumberFormat="1" applyFont="1"/>
    <xf numFmtId="167" fontId="25" fillId="0" borderId="0" xfId="6" applyNumberFormat="1"/>
    <xf numFmtId="178" fontId="11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Alignment="1">
      <alignment vertical="center"/>
    </xf>
    <xf numFmtId="169" fontId="11" fillId="0" borderId="0" xfId="0" applyNumberFormat="1" applyFont="1" applyAlignment="1">
      <alignment vertical="center"/>
    </xf>
    <xf numFmtId="166" fontId="4" fillId="0" borderId="1" xfId="0" applyNumberFormat="1" applyFont="1" applyBorder="1" applyAlignment="1"/>
    <xf numFmtId="0" fontId="21" fillId="0" borderId="0" xfId="9" applyFont="1" applyAlignment="1">
      <alignment horizontal="center"/>
    </xf>
    <xf numFmtId="3" fontId="19" fillId="0" borderId="1" xfId="0" applyNumberFormat="1" applyFont="1" applyBorder="1"/>
    <xf numFmtId="0" fontId="26" fillId="0" borderId="1" xfId="0" quotePrefix="1" applyFont="1" applyBorder="1"/>
    <xf numFmtId="166" fontId="26" fillId="0" borderId="1" xfId="0" applyNumberFormat="1" applyFont="1" applyBorder="1" applyAlignment="1">
      <alignment vertical="center"/>
    </xf>
    <xf numFmtId="166" fontId="26" fillId="0" borderId="1" xfId="0" applyNumberFormat="1" applyFont="1" applyFill="1" applyBorder="1" applyAlignment="1">
      <alignment vertical="center"/>
    </xf>
    <xf numFmtId="0" fontId="26" fillId="0" borderId="1" xfId="9" applyFont="1" applyBorder="1" applyAlignment="1">
      <alignment horizontal="center" vertical="center"/>
    </xf>
    <xf numFmtId="3" fontId="26" fillId="0" borderId="1" xfId="9" applyNumberFormat="1" applyFont="1" applyBorder="1" applyAlignment="1">
      <alignment horizontal="center" vertical="center"/>
    </xf>
    <xf numFmtId="171" fontId="26" fillId="0" borderId="1" xfId="3" applyNumberFormat="1" applyFont="1" applyBorder="1" applyAlignment="1">
      <alignment horizontal="center" vertical="center" wrapText="1"/>
    </xf>
    <xf numFmtId="3" fontId="26" fillId="0" borderId="1" xfId="9" applyNumberFormat="1" applyFont="1" applyBorder="1" applyAlignment="1">
      <alignment horizontal="center" vertical="center" wrapText="1"/>
    </xf>
    <xf numFmtId="0" fontId="26" fillId="0" borderId="1" xfId="9" applyFont="1" applyBorder="1" applyAlignment="1">
      <alignment horizontal="center"/>
    </xf>
    <xf numFmtId="49" fontId="26" fillId="0" borderId="1" xfId="9" applyNumberFormat="1" applyFont="1" applyBorder="1" applyAlignment="1">
      <alignment horizontal="center"/>
    </xf>
    <xf numFmtId="171" fontId="26" fillId="0" borderId="0" xfId="3" applyNumberFormat="1" applyFont="1" applyAlignment="1">
      <alignment horizontal="center"/>
    </xf>
    <xf numFmtId="0" fontId="26" fillId="0" borderId="0" xfId="9" applyFont="1" applyFill="1" applyAlignment="1">
      <alignment horizontal="center"/>
    </xf>
    <xf numFmtId="164" fontId="26" fillId="0" borderId="0" xfId="9" applyNumberFormat="1" applyFont="1" applyFill="1" applyAlignment="1">
      <alignment horizontal="center"/>
    </xf>
    <xf numFmtId="177" fontId="26" fillId="0" borderId="0" xfId="3" applyNumberFormat="1" applyFont="1" applyFill="1" applyAlignment="1">
      <alignment horizontal="center"/>
    </xf>
    <xf numFmtId="176" fontId="26" fillId="2" borderId="0" xfId="9" applyNumberFormat="1" applyFont="1" applyFill="1" applyAlignment="1">
      <alignment horizontal="center"/>
    </xf>
    <xf numFmtId="176" fontId="26" fillId="0" borderId="0" xfId="9" applyNumberFormat="1" applyFont="1" applyAlignment="1">
      <alignment horizontal="center"/>
    </xf>
    <xf numFmtId="171" fontId="21" fillId="0" borderId="0" xfId="3" applyNumberFormat="1" applyFont="1" applyAlignment="1">
      <alignment horizontal="center"/>
    </xf>
    <xf numFmtId="0" fontId="21" fillId="0" borderId="0" xfId="9" applyFont="1" applyFill="1" applyAlignment="1">
      <alignment horizontal="center"/>
    </xf>
    <xf numFmtId="164" fontId="21" fillId="0" borderId="0" xfId="9" applyNumberFormat="1" applyFont="1" applyFill="1" applyAlignment="1">
      <alignment horizontal="center"/>
    </xf>
    <xf numFmtId="176" fontId="21" fillId="0" borderId="0" xfId="9" applyNumberFormat="1" applyFont="1" applyFill="1" applyAlignment="1">
      <alignment horizontal="center"/>
    </xf>
    <xf numFmtId="177" fontId="21" fillId="0" borderId="0" xfId="3" applyNumberFormat="1" applyFont="1" applyFill="1" applyAlignment="1">
      <alignment horizontal="center"/>
    </xf>
    <xf numFmtId="176" fontId="21" fillId="2" borderId="0" xfId="9" applyNumberFormat="1" applyFont="1" applyFill="1" applyAlignment="1">
      <alignment horizontal="center"/>
    </xf>
    <xf numFmtId="176" fontId="21" fillId="0" borderId="0" xfId="9" applyNumberFormat="1" applyFont="1" applyAlignment="1">
      <alignment horizontal="center"/>
    </xf>
    <xf numFmtId="167" fontId="11" fillId="0" borderId="0" xfId="1" applyFont="1" applyAlignment="1">
      <alignment vertical="center"/>
    </xf>
    <xf numFmtId="171" fontId="2" fillId="0" borderId="0" xfId="1" applyNumberFormat="1" applyFont="1"/>
    <xf numFmtId="0" fontId="32" fillId="0" borderId="0" xfId="0" applyNumberFormat="1" applyFont="1"/>
    <xf numFmtId="0" fontId="23" fillId="0" borderId="0" xfId="0" applyNumberFormat="1" applyFont="1" applyAlignment="1">
      <alignment vertical="center"/>
    </xf>
    <xf numFmtId="0" fontId="3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168" fontId="3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  <xf numFmtId="49" fontId="12" fillId="0" borderId="4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horizontal="left" vertical="center"/>
    </xf>
    <xf numFmtId="0" fontId="6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/>
    </xf>
    <xf numFmtId="0" fontId="12" fillId="0" borderId="8" xfId="0" applyNumberFormat="1" applyFont="1" applyBorder="1" applyAlignment="1">
      <alignment horizontal="right" vertical="center"/>
    </xf>
    <xf numFmtId="0" fontId="12" fillId="0" borderId="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center"/>
    </xf>
    <xf numFmtId="0" fontId="4" fillId="0" borderId="3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right" vertical="center"/>
    </xf>
    <xf numFmtId="0" fontId="22" fillId="0" borderId="0" xfId="9" applyFont="1" applyAlignment="1">
      <alignment horizontal="center"/>
    </xf>
    <xf numFmtId="0" fontId="21" fillId="0" borderId="0" xfId="9" applyFont="1" applyAlignment="1">
      <alignment horizontal="center"/>
    </xf>
    <xf numFmtId="49" fontId="26" fillId="0" borderId="0" xfId="9" applyNumberFormat="1" applyFont="1" applyAlignment="1">
      <alignment horizontal="center"/>
    </xf>
    <xf numFmtId="0" fontId="26" fillId="0" borderId="0" xfId="9" applyFont="1" applyAlignment="1">
      <alignment horizontal="center"/>
    </xf>
    <xf numFmtId="49" fontId="21" fillId="0" borderId="0" xfId="9" applyNumberFormat="1" applyFont="1" applyAlignment="1">
      <alignment horizontal="center"/>
    </xf>
    <xf numFmtId="0" fontId="21" fillId="0" borderId="0" xfId="9" applyFont="1" applyAlignment="1">
      <alignment horizontal="left" vertical="center"/>
    </xf>
    <xf numFmtId="0" fontId="23" fillId="3" borderId="0" xfId="9" applyFont="1" applyFill="1" applyBorder="1" applyAlignment="1">
      <alignment horizontal="center"/>
    </xf>
    <xf numFmtId="171" fontId="2" fillId="0" borderId="0" xfId="3" applyNumberFormat="1" applyFont="1" applyAlignment="1">
      <alignment horizontal="center" wrapText="1"/>
    </xf>
    <xf numFmtId="171" fontId="2" fillId="0" borderId="0" xfId="3" applyNumberFormat="1" applyFont="1" applyAlignment="1">
      <alignment horizontal="center"/>
    </xf>
    <xf numFmtId="0" fontId="23" fillId="3" borderId="5" xfId="9" applyFont="1" applyFill="1" applyBorder="1" applyAlignment="1">
      <alignment horizontal="center"/>
    </xf>
    <xf numFmtId="0" fontId="21" fillId="0" borderId="1" xfId="9" applyFont="1" applyBorder="1" applyAlignment="1">
      <alignment horizontal="center"/>
    </xf>
    <xf numFmtId="0" fontId="21" fillId="0" borderId="2" xfId="9" applyFont="1" applyBorder="1" applyAlignment="1">
      <alignment horizontal="left"/>
    </xf>
    <xf numFmtId="0" fontId="30" fillId="0" borderId="0" xfId="9" applyFont="1" applyBorder="1" applyAlignment="1">
      <alignment horizontal="center" vertical="center" wrapText="1"/>
    </xf>
    <xf numFmtId="166" fontId="35" fillId="0" borderId="0" xfId="6" applyNumberFormat="1" applyFont="1" applyAlignment="1">
      <alignment horizontal="center"/>
    </xf>
    <xf numFmtId="0" fontId="34" fillId="0" borderId="0" xfId="6" applyFont="1" applyAlignment="1">
      <alignment horizontal="center" vertical="center" wrapText="1"/>
    </xf>
    <xf numFmtId="0" fontId="35" fillId="0" borderId="0" xfId="6" applyFont="1" applyAlignment="1">
      <alignment horizontal="center" vertical="center"/>
    </xf>
    <xf numFmtId="166" fontId="34" fillId="0" borderId="0" xfId="6" applyNumberFormat="1" applyFont="1" applyAlignment="1">
      <alignment horizontal="center"/>
    </xf>
    <xf numFmtId="166" fontId="2" fillId="0" borderId="0" xfId="6" applyNumberFormat="1" applyFont="1" applyAlignment="1">
      <alignment horizontal="center" vertical="center"/>
    </xf>
    <xf numFmtId="0" fontId="34" fillId="0" borderId="6" xfId="6" applyFont="1" applyBorder="1" applyAlignment="1">
      <alignment horizontal="center" vertical="center" wrapText="1"/>
    </xf>
    <xf numFmtId="0" fontId="34" fillId="0" borderId="9" xfId="6" applyFont="1" applyBorder="1" applyAlignment="1">
      <alignment horizontal="center" vertical="center" wrapText="1"/>
    </xf>
    <xf numFmtId="0" fontId="34" fillId="0" borderId="7" xfId="6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35" fillId="0" borderId="3" xfId="6" applyFont="1" applyBorder="1" applyAlignment="1">
      <alignment horizontal="center" vertical="center" wrapText="1"/>
    </xf>
    <xf numFmtId="0" fontId="35" fillId="0" borderId="8" xfId="6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center" vertical="center"/>
    </xf>
    <xf numFmtId="166" fontId="6" fillId="0" borderId="0" xfId="6" applyNumberFormat="1" applyFont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</cellXfs>
  <cellStyles count="11">
    <cellStyle name="Comma" xfId="1" builtinId="3"/>
    <cellStyle name="Comma 19" xfId="2"/>
    <cellStyle name="Comma 2" xfId="3"/>
    <cellStyle name="Comma 2 3" xfId="4"/>
    <cellStyle name="Comma 3" xfId="5"/>
    <cellStyle name="Normal" xfId="0" builtinId="0"/>
    <cellStyle name="Normal 2" xfId="6"/>
    <cellStyle name="Normal 2 2" xfId="7"/>
    <cellStyle name="Normal 2 2 2" xfId="8"/>
    <cellStyle name="Normal 3" xfId="9"/>
    <cellStyle name="Normal 3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61" Type="http://schemas.openxmlformats.org/officeDocument/2006/relationships/connections" Target="connection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2</xdr:row>
      <xdr:rowOff>0</xdr:rowOff>
    </xdr:from>
    <xdr:to>
      <xdr:col>15</xdr:col>
      <xdr:colOff>95250</xdr:colOff>
      <xdr:row>2</xdr:row>
      <xdr:rowOff>0</xdr:rowOff>
    </xdr:to>
    <xdr:sp macro="" textlink="">
      <xdr:nvSpPr>
        <xdr:cNvPr id="48333" name="Line 1"/>
        <xdr:cNvSpPr>
          <a:spLocks noChangeShapeType="1"/>
        </xdr:cNvSpPr>
      </xdr:nvSpPr>
      <xdr:spPr bwMode="auto">
        <a:xfrm>
          <a:off x="5324475" y="342900"/>
          <a:ext cx="1724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771525</xdr:colOff>
      <xdr:row>2</xdr:row>
      <xdr:rowOff>0</xdr:rowOff>
    </xdr:from>
    <xdr:to>
      <xdr:col>3</xdr:col>
      <xdr:colOff>257175</xdr:colOff>
      <xdr:row>2</xdr:row>
      <xdr:rowOff>0</xdr:rowOff>
    </xdr:to>
    <xdr:sp macro="" textlink="">
      <xdr:nvSpPr>
        <xdr:cNvPr id="48334" name="Line 2"/>
        <xdr:cNvSpPr>
          <a:spLocks noChangeShapeType="1"/>
        </xdr:cNvSpPr>
      </xdr:nvSpPr>
      <xdr:spPr bwMode="auto">
        <a:xfrm>
          <a:off x="1057275" y="342900"/>
          <a:ext cx="895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2647" name="Line 1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2648" name="Line 2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2649" name="Line 3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285750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0" y="2105025"/>
          <a:ext cx="285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0" tIns="0" rIns="0" bIns="0" anchor="b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.VnTim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942975</xdr:colOff>
      <xdr:row>2</xdr:row>
      <xdr:rowOff>0</xdr:rowOff>
    </xdr:from>
    <xdr:to>
      <xdr:col>2</xdr:col>
      <xdr:colOff>1057275</xdr:colOff>
      <xdr:row>2</xdr:row>
      <xdr:rowOff>0</xdr:rowOff>
    </xdr:to>
    <xdr:sp macro="" textlink="">
      <xdr:nvSpPr>
        <xdr:cNvPr id="54389" name="Line 2"/>
        <xdr:cNvSpPr>
          <a:spLocks noChangeShapeType="1"/>
        </xdr:cNvSpPr>
      </xdr:nvSpPr>
      <xdr:spPr bwMode="auto">
        <a:xfrm>
          <a:off x="1276350" y="342900"/>
          <a:ext cx="71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990600</xdr:colOff>
      <xdr:row>2</xdr:row>
      <xdr:rowOff>0</xdr:rowOff>
    </xdr:from>
    <xdr:to>
      <xdr:col>2</xdr:col>
      <xdr:colOff>1123950</xdr:colOff>
      <xdr:row>2</xdr:row>
      <xdr:rowOff>0</xdr:rowOff>
    </xdr:to>
    <xdr:sp macro="" textlink="">
      <xdr:nvSpPr>
        <xdr:cNvPr id="54390" name="Line 3"/>
        <xdr:cNvSpPr>
          <a:spLocks noChangeShapeType="1"/>
        </xdr:cNvSpPr>
      </xdr:nvSpPr>
      <xdr:spPr bwMode="auto">
        <a:xfrm>
          <a:off x="1323975" y="34290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54391" name="Line 4"/>
        <xdr:cNvSpPr>
          <a:spLocks noChangeShapeType="1"/>
        </xdr:cNvSpPr>
      </xdr:nvSpPr>
      <xdr:spPr bwMode="auto">
        <a:xfrm>
          <a:off x="1285875" y="342900"/>
          <a:ext cx="704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266700</xdr:colOff>
      <xdr:row>2</xdr:row>
      <xdr:rowOff>0</xdr:rowOff>
    </xdr:from>
    <xdr:to>
      <xdr:col>13</xdr:col>
      <xdr:colOff>533400</xdr:colOff>
      <xdr:row>2</xdr:row>
      <xdr:rowOff>0</xdr:rowOff>
    </xdr:to>
    <xdr:sp macro="" textlink="">
      <xdr:nvSpPr>
        <xdr:cNvPr id="54392" name="Line 5"/>
        <xdr:cNvSpPr>
          <a:spLocks noChangeShapeType="1"/>
        </xdr:cNvSpPr>
      </xdr:nvSpPr>
      <xdr:spPr bwMode="auto">
        <a:xfrm>
          <a:off x="5429250" y="342900"/>
          <a:ext cx="1323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990600</xdr:colOff>
      <xdr:row>2</xdr:row>
      <xdr:rowOff>0</xdr:rowOff>
    </xdr:from>
    <xdr:to>
      <xdr:col>2</xdr:col>
      <xdr:colOff>1123950</xdr:colOff>
      <xdr:row>2</xdr:row>
      <xdr:rowOff>0</xdr:rowOff>
    </xdr:to>
    <xdr:sp macro="" textlink="">
      <xdr:nvSpPr>
        <xdr:cNvPr id="39575" name="Line 2"/>
        <xdr:cNvSpPr>
          <a:spLocks noChangeShapeType="1"/>
        </xdr:cNvSpPr>
      </xdr:nvSpPr>
      <xdr:spPr bwMode="auto">
        <a:xfrm>
          <a:off x="1285875" y="342900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39576" name="Line 4"/>
        <xdr:cNvSpPr>
          <a:spLocks noChangeShapeType="1"/>
        </xdr:cNvSpPr>
      </xdr:nvSpPr>
      <xdr:spPr bwMode="auto">
        <a:xfrm>
          <a:off x="1247775" y="34290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266700</xdr:colOff>
      <xdr:row>2</xdr:row>
      <xdr:rowOff>0</xdr:rowOff>
    </xdr:from>
    <xdr:to>
      <xdr:col>14</xdr:col>
      <xdr:colOff>533400</xdr:colOff>
      <xdr:row>2</xdr:row>
      <xdr:rowOff>0</xdr:rowOff>
    </xdr:to>
    <xdr:sp macro="" textlink="">
      <xdr:nvSpPr>
        <xdr:cNvPr id="39577" name="Line 5"/>
        <xdr:cNvSpPr>
          <a:spLocks noChangeShapeType="1"/>
        </xdr:cNvSpPr>
      </xdr:nvSpPr>
      <xdr:spPr bwMode="auto">
        <a:xfrm>
          <a:off x="5200650" y="342900"/>
          <a:ext cx="1590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0</xdr:row>
      <xdr:rowOff>0</xdr:rowOff>
    </xdr:from>
    <xdr:to>
      <xdr:col>12</xdr:col>
      <xdr:colOff>381000</xdr:colOff>
      <xdr:row>0</xdr:row>
      <xdr:rowOff>0</xdr:rowOff>
    </xdr:to>
    <xdr:sp macro="" textlink="">
      <xdr:nvSpPr>
        <xdr:cNvPr id="24151" name="Line 1"/>
        <xdr:cNvSpPr>
          <a:spLocks noChangeShapeType="1"/>
        </xdr:cNvSpPr>
      </xdr:nvSpPr>
      <xdr:spPr bwMode="auto">
        <a:xfrm>
          <a:off x="9058275" y="0"/>
          <a:ext cx="800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942975</xdr:colOff>
      <xdr:row>2</xdr:row>
      <xdr:rowOff>0</xdr:rowOff>
    </xdr:from>
    <xdr:to>
      <xdr:col>2</xdr:col>
      <xdr:colOff>1057275</xdr:colOff>
      <xdr:row>2</xdr:row>
      <xdr:rowOff>0</xdr:rowOff>
    </xdr:to>
    <xdr:sp macro="" textlink="">
      <xdr:nvSpPr>
        <xdr:cNvPr id="40820" name="Line 2"/>
        <xdr:cNvSpPr>
          <a:spLocks noChangeShapeType="1"/>
        </xdr:cNvSpPr>
      </xdr:nvSpPr>
      <xdr:spPr bwMode="auto">
        <a:xfrm>
          <a:off x="1276350" y="342900"/>
          <a:ext cx="71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990600</xdr:colOff>
      <xdr:row>2</xdr:row>
      <xdr:rowOff>0</xdr:rowOff>
    </xdr:from>
    <xdr:to>
      <xdr:col>2</xdr:col>
      <xdr:colOff>1123950</xdr:colOff>
      <xdr:row>2</xdr:row>
      <xdr:rowOff>0</xdr:rowOff>
    </xdr:to>
    <xdr:sp macro="" textlink="">
      <xdr:nvSpPr>
        <xdr:cNvPr id="40821" name="Line 3"/>
        <xdr:cNvSpPr>
          <a:spLocks noChangeShapeType="1"/>
        </xdr:cNvSpPr>
      </xdr:nvSpPr>
      <xdr:spPr bwMode="auto">
        <a:xfrm>
          <a:off x="1323975" y="34290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40822" name="Line 4"/>
        <xdr:cNvSpPr>
          <a:spLocks noChangeShapeType="1"/>
        </xdr:cNvSpPr>
      </xdr:nvSpPr>
      <xdr:spPr bwMode="auto">
        <a:xfrm>
          <a:off x="1285875" y="342900"/>
          <a:ext cx="704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266700</xdr:colOff>
      <xdr:row>2</xdr:row>
      <xdr:rowOff>0</xdr:rowOff>
    </xdr:from>
    <xdr:to>
      <xdr:col>13</xdr:col>
      <xdr:colOff>533400</xdr:colOff>
      <xdr:row>2</xdr:row>
      <xdr:rowOff>0</xdr:rowOff>
    </xdr:to>
    <xdr:sp macro="" textlink="">
      <xdr:nvSpPr>
        <xdr:cNvPr id="40823" name="Line 5"/>
        <xdr:cNvSpPr>
          <a:spLocks noChangeShapeType="1"/>
        </xdr:cNvSpPr>
      </xdr:nvSpPr>
      <xdr:spPr bwMode="auto">
        <a:xfrm>
          <a:off x="5429250" y="342900"/>
          <a:ext cx="1323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13</xdr:col>
      <xdr:colOff>476250</xdr:colOff>
      <xdr:row>2</xdr:row>
      <xdr:rowOff>0</xdr:rowOff>
    </xdr:to>
    <xdr:sp macro="" textlink="">
      <xdr:nvSpPr>
        <xdr:cNvPr id="32523" name="Line 1"/>
        <xdr:cNvSpPr>
          <a:spLocks noChangeShapeType="1"/>
        </xdr:cNvSpPr>
      </xdr:nvSpPr>
      <xdr:spPr bwMode="auto">
        <a:xfrm>
          <a:off x="1457325" y="342900"/>
          <a:ext cx="833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32524" name="Line 2"/>
        <xdr:cNvSpPr>
          <a:spLocks noChangeShapeType="1"/>
        </xdr:cNvSpPr>
      </xdr:nvSpPr>
      <xdr:spPr bwMode="auto">
        <a:xfrm>
          <a:off x="1238250" y="342900"/>
          <a:ext cx="219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2</xdr:row>
      <xdr:rowOff>0</xdr:rowOff>
    </xdr:from>
    <xdr:to>
      <xdr:col>14</xdr:col>
      <xdr:colOff>476250</xdr:colOff>
      <xdr:row>2</xdr:row>
      <xdr:rowOff>0</xdr:rowOff>
    </xdr:to>
    <xdr:sp macro="" textlink="">
      <xdr:nvSpPr>
        <xdr:cNvPr id="49357" name="Line 1"/>
        <xdr:cNvSpPr>
          <a:spLocks noChangeShapeType="1"/>
        </xdr:cNvSpPr>
      </xdr:nvSpPr>
      <xdr:spPr bwMode="auto">
        <a:xfrm>
          <a:off x="5810250" y="342900"/>
          <a:ext cx="1647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49358" name="Line 2"/>
        <xdr:cNvSpPr>
          <a:spLocks noChangeShapeType="1"/>
        </xdr:cNvSpPr>
      </xdr:nvSpPr>
      <xdr:spPr bwMode="auto">
        <a:xfrm>
          <a:off x="1238250" y="342900"/>
          <a:ext cx="685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0</xdr:rowOff>
    </xdr:from>
    <xdr:to>
      <xdr:col>2</xdr:col>
      <xdr:colOff>123825</xdr:colOff>
      <xdr:row>0</xdr:row>
      <xdr:rowOff>0</xdr:rowOff>
    </xdr:to>
    <xdr:sp macro="" textlink="">
      <xdr:nvSpPr>
        <xdr:cNvPr id="41844" name="Line 1"/>
        <xdr:cNvSpPr>
          <a:spLocks noChangeShapeType="1"/>
        </xdr:cNvSpPr>
      </xdr:nvSpPr>
      <xdr:spPr bwMode="auto">
        <a:xfrm>
          <a:off x="600075" y="0"/>
          <a:ext cx="895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1845" name="Line 2"/>
        <xdr:cNvSpPr>
          <a:spLocks noChangeShapeType="1"/>
        </xdr:cNvSpPr>
      </xdr:nvSpPr>
      <xdr:spPr bwMode="auto">
        <a:xfrm>
          <a:off x="1247775" y="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190500</xdr:colOff>
      <xdr:row>0</xdr:row>
      <xdr:rowOff>0</xdr:rowOff>
    </xdr:from>
    <xdr:to>
      <xdr:col>15</xdr:col>
      <xdr:colOff>190500</xdr:colOff>
      <xdr:row>0</xdr:row>
      <xdr:rowOff>0</xdr:rowOff>
    </xdr:to>
    <xdr:sp macro="" textlink="">
      <xdr:nvSpPr>
        <xdr:cNvPr id="41846" name="Line 3"/>
        <xdr:cNvSpPr>
          <a:spLocks noChangeShapeType="1"/>
        </xdr:cNvSpPr>
      </xdr:nvSpPr>
      <xdr:spPr bwMode="auto">
        <a:xfrm>
          <a:off x="6477000" y="0"/>
          <a:ext cx="1333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1847" name="Line 4"/>
        <xdr:cNvSpPr>
          <a:spLocks noChangeShapeType="1"/>
        </xdr:cNvSpPr>
      </xdr:nvSpPr>
      <xdr:spPr bwMode="auto">
        <a:xfrm>
          <a:off x="1247775" y="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0381" name="Line 1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0382" name="Line 2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\Downloads\Luong%20va%20phu%20cap%20thang%201-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ownloads\Luong%20HCSN%20thang%20nam%202018%20-%201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\Quy&#7871;t%20&#273;&#7883;nh\N&#226;ng%20l&#432;&#417;ng%20CBVC\Xep%20luong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an\Thulan\N&#259;m%20%202019\Chuyen%20khoan2019\Luong%20HCSN\L&#432;&#417;ng%20v&#224;%20ph&#7909;%20c&#7845;p%20th&#225;ng%202-2019\Luong%20va%20phu%20cap%20thang21-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g hop"/>
      <sheetName val="13"/>
      <sheetName val="12"/>
      <sheetName val="TM13TX"/>
      <sheetName val="TM13TXVP"/>
      <sheetName val="TM13TXTT"/>
      <sheetName val="TM13TXHKL"/>
      <sheetName val="TM12-TX"/>
      <sheetName val="TM12-MT"/>
      <sheetName val="TM12-Dang"/>
      <sheetName val="TM12-BVR-1"/>
      <sheetName val="TM12BVR-2"/>
      <sheetName val="TM12BVR-3"/>
      <sheetName val="PCCR"/>
      <sheetName val="nhanvien"/>
      <sheetName val="Luong_BC"/>
      <sheetName val="Luong_DH"/>
      <sheetName val="Khoanviec"/>
      <sheetName val="Luong VV"/>
      <sheetName val="Tro cap 116"/>
      <sheetName val="Dang phi"/>
      <sheetName val="TH_LUONG"/>
      <sheetName val="CK_TL"/>
      <sheetName val="CK_BH"/>
      <sheetName val="KP_CD"/>
      <sheetName val="BANG KÊ"/>
      <sheetName val="MẪU C13-TT LUONG"/>
      <sheetName val="donvi"/>
      <sheetName val="heso"/>
      <sheetName val="bacluong"/>
      <sheetName val="chucvu"/>
      <sheetName val="vuotkhung"/>
      <sheetName val="khuvuc"/>
      <sheetName val="thamniennghe"/>
      <sheetName val="dochai"/>
      <sheetName val="uudainghe"/>
      <sheetName val="trachnhiem"/>
      <sheetName val="phukienhopdong"/>
      <sheetName val="kiemnhiem"/>
      <sheetName val="PC116-70"/>
      <sheetName val="PC116-50-70-100"/>
      <sheetName val="Tham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3">
          <cell r="A3" t="str">
            <v>01</v>
          </cell>
          <cell r="B3" t="str">
            <v>Châu Văn Văn</v>
          </cell>
          <cell r="C3" t="str">
            <v>05</v>
          </cell>
          <cell r="D3" t="str">
            <v>Bậc 05</v>
          </cell>
          <cell r="E3">
            <v>5.76</v>
          </cell>
          <cell r="F3" t="str">
            <v>01</v>
          </cell>
          <cell r="G3" t="str">
            <v>GĐ</v>
          </cell>
          <cell r="H3">
            <v>0.9</v>
          </cell>
          <cell r="I3" t="str">
            <v>50</v>
          </cell>
          <cell r="J3" t="str">
            <v>Không vượt khung</v>
          </cell>
          <cell r="K3">
            <v>0</v>
          </cell>
          <cell r="L3" t="str">
            <v>01</v>
          </cell>
          <cell r="M3" t="str">
            <v>Hưởng khu vực</v>
          </cell>
          <cell r="N3">
            <v>0.2</v>
          </cell>
          <cell r="O3" t="str">
            <v>08</v>
          </cell>
          <cell r="P3" t="str">
            <v>Thâm niên nghề 8%</v>
          </cell>
          <cell r="Q3">
            <v>0.53280000000000005</v>
          </cell>
          <cell r="R3" t="str">
            <v>09</v>
          </cell>
          <cell r="S3" t="str">
            <v>Không độc hại</v>
          </cell>
          <cell r="T3">
            <v>0</v>
          </cell>
          <cell r="U3" t="str">
            <v>01</v>
          </cell>
          <cell r="V3" t="str">
            <v>Hưởng 20% ưu đãi nghề</v>
          </cell>
          <cell r="W3">
            <v>1.3320000000000001</v>
          </cell>
          <cell r="X3" t="str">
            <v>09</v>
          </cell>
          <cell r="Y3" t="str">
            <v>Không trách nhiệm</v>
          </cell>
          <cell r="Z3">
            <v>0</v>
          </cell>
          <cell r="AA3" t="str">
            <v>09</v>
          </cell>
          <cell r="AB3" t="str">
            <v>Không phụ kiện hợp đồng</v>
          </cell>
          <cell r="AC3">
            <v>0</v>
          </cell>
          <cell r="AD3" t="str">
            <v>01</v>
          </cell>
          <cell r="AE3" t="str">
            <v>Kiêm nhiệm</v>
          </cell>
          <cell r="AF3">
            <v>0.66600000000000004</v>
          </cell>
          <cell r="AG3" t="str">
            <v>01</v>
          </cell>
          <cell r="AH3" t="str">
            <v>Phu cấp 116 70%</v>
          </cell>
          <cell r="AI3">
            <v>0</v>
          </cell>
          <cell r="AJ3" t="str">
            <v>09</v>
          </cell>
          <cell r="AK3" t="str">
            <v>Khác</v>
          </cell>
          <cell r="AL3">
            <v>0</v>
          </cell>
          <cell r="AN3" t="str">
            <v>TL: 01/06/2019</v>
          </cell>
        </row>
        <row r="4">
          <cell r="A4" t="str">
            <v>02</v>
          </cell>
          <cell r="B4" t="str">
            <v>Huỳnh Hữu Phương</v>
          </cell>
          <cell r="C4" t="str">
            <v>09</v>
          </cell>
          <cell r="D4" t="str">
            <v>Bậc 09</v>
          </cell>
          <cell r="E4">
            <v>4.9800000000000004</v>
          </cell>
          <cell r="F4" t="str">
            <v>02</v>
          </cell>
          <cell r="G4" t="str">
            <v>PGĐ</v>
          </cell>
          <cell r="H4">
            <v>0.7</v>
          </cell>
          <cell r="I4" t="str">
            <v>05</v>
          </cell>
          <cell r="J4" t="str">
            <v>Vượt khung 5%</v>
          </cell>
          <cell r="K4">
            <v>0.24900000000000003</v>
          </cell>
          <cell r="L4" t="str">
            <v>01</v>
          </cell>
          <cell r="M4" t="str">
            <v>Hưởng khu vực</v>
          </cell>
          <cell r="N4">
            <v>0.2</v>
          </cell>
          <cell r="O4" t="str">
            <v>50</v>
          </cell>
          <cell r="P4" t="str">
            <v>Không thâm niên nghề</v>
          </cell>
          <cell r="Q4">
            <v>0</v>
          </cell>
          <cell r="R4" t="str">
            <v>09</v>
          </cell>
          <cell r="S4" t="str">
            <v>Không độc hại</v>
          </cell>
          <cell r="T4">
            <v>0</v>
          </cell>
          <cell r="U4" t="str">
            <v>09</v>
          </cell>
          <cell r="V4" t="str">
            <v>Không hưởng ưu đãi nghề</v>
          </cell>
          <cell r="W4">
            <v>0</v>
          </cell>
          <cell r="X4" t="str">
            <v>09</v>
          </cell>
          <cell r="Y4" t="str">
            <v>Không trách nhiệm</v>
          </cell>
          <cell r="Z4">
            <v>0</v>
          </cell>
          <cell r="AA4" t="str">
            <v>09</v>
          </cell>
          <cell r="AB4" t="str">
            <v>Không phụ kiện hợp đồng</v>
          </cell>
          <cell r="AC4">
            <v>0</v>
          </cell>
          <cell r="AD4" t="str">
            <v>09</v>
          </cell>
          <cell r="AE4" t="str">
            <v>Không kiêm nhiệm</v>
          </cell>
          <cell r="AF4">
            <v>0</v>
          </cell>
          <cell r="AG4" t="str">
            <v>09</v>
          </cell>
          <cell r="AH4" t="str">
            <v>Không kiêm nhiệm</v>
          </cell>
          <cell r="AI4">
            <v>0</v>
          </cell>
          <cell r="AJ4" t="str">
            <v>03</v>
          </cell>
          <cell r="AK4" t="str">
            <v>Phụ cấp 116 100%</v>
          </cell>
          <cell r="AL4">
            <v>0</v>
          </cell>
          <cell r="AN4" t="str">
            <v>TL01/07/2017</v>
          </cell>
        </row>
        <row r="5">
          <cell r="A5" t="str">
            <v>03</v>
          </cell>
          <cell r="B5" t="str">
            <v>Tạ Ngọc Dân</v>
          </cell>
          <cell r="C5" t="str">
            <v>07</v>
          </cell>
          <cell r="D5" t="str">
            <v>Bậc 07</v>
          </cell>
          <cell r="E5">
            <v>4.32</v>
          </cell>
          <cell r="F5" t="str">
            <v>02</v>
          </cell>
          <cell r="G5" t="str">
            <v>PGĐ</v>
          </cell>
          <cell r="H5">
            <v>0.7</v>
          </cell>
          <cell r="I5" t="str">
            <v>50</v>
          </cell>
          <cell r="J5" t="str">
            <v>Không vượt khung</v>
          </cell>
          <cell r="K5">
            <v>0</v>
          </cell>
          <cell r="L5" t="str">
            <v>01</v>
          </cell>
          <cell r="M5" t="str">
            <v>Hưởng khu vực</v>
          </cell>
          <cell r="N5">
            <v>0.2</v>
          </cell>
          <cell r="O5" t="str">
            <v>50</v>
          </cell>
          <cell r="P5" t="str">
            <v>Không thâm niên nghề</v>
          </cell>
          <cell r="Q5">
            <v>0</v>
          </cell>
          <cell r="R5" t="str">
            <v>09</v>
          </cell>
          <cell r="S5" t="str">
            <v>Không độc hại</v>
          </cell>
          <cell r="T5">
            <v>0</v>
          </cell>
          <cell r="U5" t="str">
            <v>09</v>
          </cell>
          <cell r="V5" t="str">
            <v>Không hưởng ưu đãi nghề</v>
          </cell>
          <cell r="W5">
            <v>0</v>
          </cell>
          <cell r="X5" t="str">
            <v>09</v>
          </cell>
          <cell r="Y5" t="str">
            <v>Không trách nhiệm</v>
          </cell>
          <cell r="Z5">
            <v>0</v>
          </cell>
          <cell r="AA5" t="str">
            <v>09</v>
          </cell>
          <cell r="AB5" t="str">
            <v>Không phụ kiện hợp đồng</v>
          </cell>
          <cell r="AC5">
            <v>0</v>
          </cell>
          <cell r="AD5" t="str">
            <v>09</v>
          </cell>
          <cell r="AE5" t="str">
            <v>Không kiêm nhiệm</v>
          </cell>
          <cell r="AF5">
            <v>0</v>
          </cell>
          <cell r="AG5" t="str">
            <v>09</v>
          </cell>
          <cell r="AH5" t="str">
            <v>Không kiêm nhiệm</v>
          </cell>
          <cell r="AI5">
            <v>0</v>
          </cell>
          <cell r="AJ5" t="str">
            <v>02</v>
          </cell>
          <cell r="AK5" t="str">
            <v>Phụ cấp 116 70%</v>
          </cell>
          <cell r="AL5">
            <v>0</v>
          </cell>
          <cell r="AN5" t="str">
            <v>TL: 01/03/2017</v>
          </cell>
        </row>
        <row r="6">
          <cell r="A6" t="str">
            <v>04</v>
          </cell>
          <cell r="B6" t="str">
            <v>Nguyễn Văn Cường</v>
          </cell>
          <cell r="C6" t="str">
            <v>05</v>
          </cell>
          <cell r="D6" t="str">
            <v>Bậc 05</v>
          </cell>
          <cell r="E6">
            <v>3.66</v>
          </cell>
          <cell r="F6" t="str">
            <v>03</v>
          </cell>
          <cell r="G6" t="str">
            <v>TP</v>
          </cell>
          <cell r="H6">
            <v>0.5</v>
          </cell>
          <cell r="I6" t="str">
            <v>50</v>
          </cell>
          <cell r="J6" t="str">
            <v>Không vượt khung</v>
          </cell>
          <cell r="K6">
            <v>0</v>
          </cell>
          <cell r="L6" t="str">
            <v>01</v>
          </cell>
          <cell r="M6" t="str">
            <v>Hưởng khu vực</v>
          </cell>
          <cell r="N6">
            <v>0.2</v>
          </cell>
          <cell r="O6" t="str">
            <v>50</v>
          </cell>
          <cell r="P6" t="str">
            <v>Không thâm niên nghề</v>
          </cell>
          <cell r="Q6">
            <v>0</v>
          </cell>
          <cell r="R6" t="str">
            <v>09</v>
          </cell>
          <cell r="S6" t="str">
            <v>Không độc hại</v>
          </cell>
          <cell r="T6">
            <v>0</v>
          </cell>
          <cell r="U6" t="str">
            <v>09</v>
          </cell>
          <cell r="V6" t="str">
            <v>Không hưởng ưu đãi nghề</v>
          </cell>
          <cell r="W6">
            <v>0</v>
          </cell>
          <cell r="X6" t="str">
            <v>09</v>
          </cell>
          <cell r="Y6" t="str">
            <v>Không trách nhiệm</v>
          </cell>
          <cell r="Z6">
            <v>0</v>
          </cell>
          <cell r="AA6" t="str">
            <v>09</v>
          </cell>
          <cell r="AB6" t="str">
            <v>Không phụ kiện hợp đồng</v>
          </cell>
          <cell r="AC6">
            <v>0</v>
          </cell>
          <cell r="AD6" t="str">
            <v>09</v>
          </cell>
          <cell r="AE6" t="str">
            <v>Không kiêm nhiệm</v>
          </cell>
          <cell r="AF6">
            <v>0</v>
          </cell>
          <cell r="AG6" t="str">
            <v>09</v>
          </cell>
          <cell r="AH6" t="str">
            <v>Không kiêm nhiệm</v>
          </cell>
          <cell r="AI6">
            <v>0</v>
          </cell>
          <cell r="AJ6" t="str">
            <v>02</v>
          </cell>
          <cell r="AK6" t="str">
            <v>Phụ cấp 116 70%</v>
          </cell>
          <cell r="AL6">
            <v>0</v>
          </cell>
          <cell r="AN6" t="str">
            <v>TL: 01/11/2015</v>
          </cell>
        </row>
        <row r="7">
          <cell r="A7" t="str">
            <v>05</v>
          </cell>
          <cell r="B7" t="str">
            <v>Trần Văn Lành</v>
          </cell>
          <cell r="C7" t="str">
            <v>04</v>
          </cell>
          <cell r="D7" t="str">
            <v>Bậc 04</v>
          </cell>
          <cell r="E7">
            <v>3.33</v>
          </cell>
          <cell r="F7" t="str">
            <v>04</v>
          </cell>
          <cell r="G7" t="str">
            <v>P.TP</v>
          </cell>
          <cell r="H7">
            <v>0.3</v>
          </cell>
          <cell r="I7" t="str">
            <v>50</v>
          </cell>
          <cell r="J7" t="str">
            <v>Không vượt khung</v>
          </cell>
          <cell r="K7">
            <v>0</v>
          </cell>
          <cell r="L7" t="str">
            <v>01</v>
          </cell>
          <cell r="M7" t="str">
            <v>Hưởng khu vực</v>
          </cell>
          <cell r="N7">
            <v>0.2</v>
          </cell>
          <cell r="O7" t="str">
            <v>50</v>
          </cell>
          <cell r="P7" t="str">
            <v>Không thâm niên nghề</v>
          </cell>
          <cell r="Q7">
            <v>0</v>
          </cell>
          <cell r="R7" t="str">
            <v>09</v>
          </cell>
          <cell r="S7" t="str">
            <v>Không độc hại</v>
          </cell>
          <cell r="T7">
            <v>0</v>
          </cell>
          <cell r="U7" t="str">
            <v>09</v>
          </cell>
          <cell r="V7" t="str">
            <v>Không hưởng ưu đãi nghề</v>
          </cell>
          <cell r="W7">
            <v>0</v>
          </cell>
          <cell r="X7" t="str">
            <v>09</v>
          </cell>
          <cell r="Y7" t="str">
            <v>Không trách nhiệm</v>
          </cell>
          <cell r="Z7">
            <v>0</v>
          </cell>
          <cell r="AA7" t="str">
            <v>09</v>
          </cell>
          <cell r="AB7" t="str">
            <v>Không phụ kiện hợp đồng</v>
          </cell>
          <cell r="AC7">
            <v>0</v>
          </cell>
          <cell r="AD7" t="str">
            <v>09</v>
          </cell>
          <cell r="AE7" t="str">
            <v>Không kiêm nhiệm</v>
          </cell>
          <cell r="AF7">
            <v>0</v>
          </cell>
          <cell r="AG7" t="str">
            <v>09</v>
          </cell>
          <cell r="AH7" t="str">
            <v>Không kiêm nhiệm</v>
          </cell>
          <cell r="AI7">
            <v>0</v>
          </cell>
          <cell r="AJ7" t="str">
            <v>02</v>
          </cell>
          <cell r="AK7" t="str">
            <v>Phụ cấp 116 70%</v>
          </cell>
          <cell r="AL7">
            <v>0</v>
          </cell>
          <cell r="AN7" t="str">
            <v>TL: 01/01/2018</v>
          </cell>
        </row>
        <row r="8">
          <cell r="A8" t="str">
            <v>06</v>
          </cell>
          <cell r="B8" t="str">
            <v>Nguyễn Thị Thanh</v>
          </cell>
          <cell r="C8" t="str">
            <v>09</v>
          </cell>
          <cell r="D8" t="str">
            <v>Bậc 09</v>
          </cell>
          <cell r="E8">
            <v>3.46</v>
          </cell>
          <cell r="F8" t="str">
            <v>06</v>
          </cell>
          <cell r="G8" t="str">
            <v>TQ</v>
          </cell>
          <cell r="H8">
            <v>0</v>
          </cell>
          <cell r="I8" t="str">
            <v>50</v>
          </cell>
          <cell r="J8" t="str">
            <v>Không vượt khung</v>
          </cell>
          <cell r="K8">
            <v>0</v>
          </cell>
          <cell r="L8" t="str">
            <v>01</v>
          </cell>
          <cell r="M8" t="str">
            <v>Hưởng khu vực</v>
          </cell>
          <cell r="N8">
            <v>0.2</v>
          </cell>
          <cell r="O8" t="str">
            <v>50</v>
          </cell>
          <cell r="P8" t="str">
            <v>Không thâm niên nghề</v>
          </cell>
          <cell r="Q8">
            <v>0</v>
          </cell>
          <cell r="R8" t="str">
            <v>09</v>
          </cell>
          <cell r="S8" t="str">
            <v>Không độc hại</v>
          </cell>
          <cell r="T8">
            <v>0</v>
          </cell>
          <cell r="U8" t="str">
            <v>09</v>
          </cell>
          <cell r="V8" t="str">
            <v>Không hưởng ưu đãi nghề</v>
          </cell>
          <cell r="W8">
            <v>0</v>
          </cell>
          <cell r="X8" t="str">
            <v>01</v>
          </cell>
          <cell r="Y8" t="str">
            <v>Trách nhiệm</v>
          </cell>
          <cell r="Z8">
            <v>0.1</v>
          </cell>
          <cell r="AA8" t="str">
            <v>09</v>
          </cell>
          <cell r="AB8" t="str">
            <v>Không phụ kiện hợp đồng</v>
          </cell>
          <cell r="AC8">
            <v>0</v>
          </cell>
          <cell r="AD8" t="str">
            <v>09</v>
          </cell>
          <cell r="AE8" t="str">
            <v>Không kiêm nhiệm</v>
          </cell>
          <cell r="AF8">
            <v>0</v>
          </cell>
          <cell r="AG8" t="str">
            <v>09</v>
          </cell>
          <cell r="AH8" t="str">
            <v>Không kiêm nhiệm</v>
          </cell>
          <cell r="AI8">
            <v>0</v>
          </cell>
          <cell r="AJ8" t="str">
            <v>03</v>
          </cell>
          <cell r="AK8" t="str">
            <v>Phụ cấp 116 100%</v>
          </cell>
          <cell r="AL8">
            <v>0</v>
          </cell>
          <cell r="AN8" t="str">
            <v>TL: 01/04/2016</v>
          </cell>
        </row>
        <row r="9">
          <cell r="A9" t="str">
            <v>07</v>
          </cell>
          <cell r="B9" t="str">
            <v>Nguyễn Long Điền</v>
          </cell>
          <cell r="C9" t="str">
            <v>05</v>
          </cell>
          <cell r="D9" t="str">
            <v>Bậc 05</v>
          </cell>
          <cell r="E9">
            <v>3.66</v>
          </cell>
          <cell r="F9" t="str">
            <v>03</v>
          </cell>
          <cell r="G9" t="str">
            <v>TP</v>
          </cell>
          <cell r="H9">
            <v>0.5</v>
          </cell>
          <cell r="I9" t="str">
            <v>50</v>
          </cell>
          <cell r="J9" t="str">
            <v>Không vượt khung</v>
          </cell>
          <cell r="K9">
            <v>0</v>
          </cell>
          <cell r="L9" t="str">
            <v>01</v>
          </cell>
          <cell r="M9" t="str">
            <v>Hưởng khu vực</v>
          </cell>
          <cell r="N9">
            <v>0.2</v>
          </cell>
          <cell r="O9" t="str">
            <v>50</v>
          </cell>
          <cell r="P9" t="str">
            <v>Không thâm niên nghề</v>
          </cell>
          <cell r="Q9">
            <v>0</v>
          </cell>
          <cell r="R9" t="str">
            <v>09</v>
          </cell>
          <cell r="S9" t="str">
            <v>Không độc hại</v>
          </cell>
          <cell r="T9">
            <v>0</v>
          </cell>
          <cell r="U9" t="str">
            <v>09</v>
          </cell>
          <cell r="V9" t="str">
            <v>Không hưởng ưu đãi nghề</v>
          </cell>
          <cell r="W9">
            <v>0</v>
          </cell>
          <cell r="X9" t="str">
            <v>09</v>
          </cell>
          <cell r="Y9" t="str">
            <v>Không trách nhiệm</v>
          </cell>
          <cell r="Z9">
            <v>0</v>
          </cell>
          <cell r="AA9" t="str">
            <v>09</v>
          </cell>
          <cell r="AB9" t="str">
            <v>Không phụ kiện hợp đồng</v>
          </cell>
          <cell r="AC9">
            <v>0</v>
          </cell>
          <cell r="AD9" t="str">
            <v>09</v>
          </cell>
          <cell r="AE9" t="str">
            <v>Không kiêm nhiệm</v>
          </cell>
          <cell r="AF9">
            <v>0</v>
          </cell>
          <cell r="AG9" t="str">
            <v>09</v>
          </cell>
          <cell r="AH9" t="str">
            <v>Không kiêm nhiệm</v>
          </cell>
          <cell r="AI9">
            <v>0</v>
          </cell>
          <cell r="AJ9" t="str">
            <v>02</v>
          </cell>
          <cell r="AK9" t="str">
            <v>Phụ cấp 116 70%</v>
          </cell>
          <cell r="AL9">
            <v>0</v>
          </cell>
          <cell r="AN9" t="str">
            <v>TL: 01/11/2015</v>
          </cell>
        </row>
        <row r="10">
          <cell r="A10" t="str">
            <v>08</v>
          </cell>
          <cell r="B10" t="str">
            <v>Hồ Đắc Long</v>
          </cell>
          <cell r="C10" t="str">
            <v>04</v>
          </cell>
          <cell r="D10" t="str">
            <v>Bậc 04</v>
          </cell>
          <cell r="E10">
            <v>3.33</v>
          </cell>
          <cell r="F10" t="str">
            <v>04</v>
          </cell>
          <cell r="G10" t="str">
            <v>P.TP</v>
          </cell>
          <cell r="H10">
            <v>0.3</v>
          </cell>
          <cell r="I10" t="str">
            <v>50</v>
          </cell>
          <cell r="J10" t="str">
            <v>Không vượt khung</v>
          </cell>
          <cell r="K10">
            <v>0</v>
          </cell>
          <cell r="L10" t="str">
            <v>01</v>
          </cell>
          <cell r="M10" t="str">
            <v>Hưởng khu vực</v>
          </cell>
          <cell r="N10">
            <v>0.2</v>
          </cell>
          <cell r="O10" t="str">
            <v>50</v>
          </cell>
          <cell r="P10" t="str">
            <v>Không thâm niên nghề</v>
          </cell>
          <cell r="Q10">
            <v>0</v>
          </cell>
          <cell r="R10" t="str">
            <v>09</v>
          </cell>
          <cell r="S10" t="str">
            <v>Không độc hại</v>
          </cell>
          <cell r="T10">
            <v>0</v>
          </cell>
          <cell r="U10" t="str">
            <v>09</v>
          </cell>
          <cell r="V10" t="str">
            <v>Không hưởng ưu đãi nghề</v>
          </cell>
          <cell r="W10">
            <v>0</v>
          </cell>
          <cell r="X10" t="str">
            <v>09</v>
          </cell>
          <cell r="Y10" t="str">
            <v>Không trách nhiệm</v>
          </cell>
          <cell r="Z10">
            <v>0</v>
          </cell>
          <cell r="AA10" t="str">
            <v>09</v>
          </cell>
          <cell r="AB10" t="str">
            <v>Không phụ kiện hợp đồng</v>
          </cell>
          <cell r="AC10">
            <v>0</v>
          </cell>
          <cell r="AD10" t="str">
            <v>09</v>
          </cell>
          <cell r="AE10" t="str">
            <v>Không kiêm nhiệm</v>
          </cell>
          <cell r="AF10">
            <v>0</v>
          </cell>
          <cell r="AG10" t="str">
            <v>09</v>
          </cell>
          <cell r="AH10" t="str">
            <v>Không kiêm nhiệm</v>
          </cell>
          <cell r="AI10">
            <v>0</v>
          </cell>
          <cell r="AJ10" t="str">
            <v>02</v>
          </cell>
          <cell r="AK10" t="str">
            <v>Phụ cấp 116 70%</v>
          </cell>
          <cell r="AL10">
            <v>0</v>
          </cell>
        </row>
        <row r="11">
          <cell r="A11" t="str">
            <v>09</v>
          </cell>
          <cell r="B11" t="str">
            <v>Hoàng Văn Hải</v>
          </cell>
          <cell r="C11" t="str">
            <v>03</v>
          </cell>
          <cell r="D11" t="str">
            <v>Bậc 03</v>
          </cell>
          <cell r="E11">
            <v>2.72</v>
          </cell>
          <cell r="F11" t="str">
            <v>05</v>
          </cell>
          <cell r="G11" t="str">
            <v>NV</v>
          </cell>
          <cell r="H11">
            <v>0</v>
          </cell>
          <cell r="I11" t="str">
            <v>50</v>
          </cell>
          <cell r="J11" t="str">
            <v>Không vượt khung</v>
          </cell>
          <cell r="K11">
            <v>0</v>
          </cell>
          <cell r="L11" t="str">
            <v>01</v>
          </cell>
          <cell r="M11" t="str">
            <v>Hưởng khu vực</v>
          </cell>
          <cell r="N11">
            <v>0.2</v>
          </cell>
          <cell r="O11" t="str">
            <v>50</v>
          </cell>
          <cell r="P11" t="str">
            <v>Không thâm niên nghề</v>
          </cell>
          <cell r="Q11">
            <v>0</v>
          </cell>
          <cell r="R11" t="str">
            <v>09</v>
          </cell>
          <cell r="S11" t="str">
            <v>Không độc hại</v>
          </cell>
          <cell r="T11">
            <v>0</v>
          </cell>
          <cell r="U11" t="str">
            <v>09</v>
          </cell>
          <cell r="V11" t="str">
            <v>Không hưởng ưu đãi nghề</v>
          </cell>
          <cell r="W11">
            <v>0</v>
          </cell>
          <cell r="X11" t="str">
            <v>09</v>
          </cell>
          <cell r="Y11" t="str">
            <v>Không trách nhiệm</v>
          </cell>
          <cell r="Z11">
            <v>0</v>
          </cell>
          <cell r="AA11" t="str">
            <v>09</v>
          </cell>
          <cell r="AB11" t="str">
            <v>Không phụ kiện hợp đồng</v>
          </cell>
          <cell r="AC11">
            <v>0</v>
          </cell>
          <cell r="AD11" t="str">
            <v>09</v>
          </cell>
          <cell r="AE11" t="str">
            <v>Không kiêm nhiệm</v>
          </cell>
          <cell r="AF11">
            <v>0</v>
          </cell>
          <cell r="AG11" t="str">
            <v>09</v>
          </cell>
          <cell r="AH11" t="str">
            <v>Không kiêm nhiệm</v>
          </cell>
          <cell r="AI11">
            <v>0</v>
          </cell>
          <cell r="AJ11" t="str">
            <v>01</v>
          </cell>
          <cell r="AK11" t="str">
            <v>Phụ cấp 116 50%</v>
          </cell>
          <cell r="AL11">
            <v>0</v>
          </cell>
          <cell r="AN11" t="str">
            <v>TL: 01/09/2018</v>
          </cell>
        </row>
        <row r="12">
          <cell r="A12" t="str">
            <v>10</v>
          </cell>
          <cell r="B12" t="str">
            <v>Nguyễn Thị Nhung</v>
          </cell>
          <cell r="C12" t="str">
            <v>03</v>
          </cell>
          <cell r="D12" t="str">
            <v>Bậc 03</v>
          </cell>
          <cell r="E12">
            <v>3</v>
          </cell>
          <cell r="F12" t="str">
            <v>05</v>
          </cell>
          <cell r="G12" t="str">
            <v>NV</v>
          </cell>
          <cell r="H12">
            <v>0</v>
          </cell>
          <cell r="I12" t="str">
            <v>50</v>
          </cell>
          <cell r="J12" t="str">
            <v>Không vượt khung</v>
          </cell>
          <cell r="K12">
            <v>0</v>
          </cell>
          <cell r="L12" t="str">
            <v>01</v>
          </cell>
          <cell r="M12" t="str">
            <v>Hưởng khu vực</v>
          </cell>
          <cell r="N12">
            <v>0.2</v>
          </cell>
          <cell r="O12" t="str">
            <v>50</v>
          </cell>
          <cell r="P12" t="str">
            <v>Không thâm niên nghề</v>
          </cell>
          <cell r="Q12">
            <v>0</v>
          </cell>
          <cell r="R12" t="str">
            <v>09</v>
          </cell>
          <cell r="S12" t="str">
            <v>Không độc hại</v>
          </cell>
          <cell r="T12">
            <v>0</v>
          </cell>
          <cell r="U12" t="str">
            <v>09</v>
          </cell>
          <cell r="V12" t="str">
            <v>Không hưởng ưu đãi nghề</v>
          </cell>
          <cell r="W12">
            <v>0</v>
          </cell>
          <cell r="X12" t="str">
            <v>09</v>
          </cell>
          <cell r="Y12" t="str">
            <v>Không trách nhiệm</v>
          </cell>
          <cell r="Z12">
            <v>0</v>
          </cell>
          <cell r="AA12" t="str">
            <v>09</v>
          </cell>
          <cell r="AB12" t="str">
            <v>Không phụ kiện hợp đồng</v>
          </cell>
          <cell r="AC12">
            <v>0</v>
          </cell>
          <cell r="AD12" t="str">
            <v>09</v>
          </cell>
          <cell r="AE12" t="str">
            <v>Không kiêm nhiệm</v>
          </cell>
          <cell r="AF12">
            <v>0</v>
          </cell>
          <cell r="AG12" t="str">
            <v>09</v>
          </cell>
          <cell r="AH12" t="str">
            <v>Không kiêm nhiệm</v>
          </cell>
          <cell r="AI12">
            <v>0</v>
          </cell>
          <cell r="AJ12" t="str">
            <v>01</v>
          </cell>
          <cell r="AK12" t="str">
            <v>Phụ cấp 116 50%</v>
          </cell>
          <cell r="AL12">
            <v>0</v>
          </cell>
        </row>
        <row r="13">
          <cell r="A13" t="str">
            <v>11</v>
          </cell>
          <cell r="B13" t="str">
            <v>Tô Quang</v>
          </cell>
          <cell r="C13" t="str">
            <v>01</v>
          </cell>
          <cell r="D13" t="str">
            <v>Bậc 01</v>
          </cell>
          <cell r="E13">
            <v>2.34</v>
          </cell>
          <cell r="F13" t="str">
            <v>05</v>
          </cell>
          <cell r="G13" t="str">
            <v>NV</v>
          </cell>
          <cell r="H13">
            <v>0</v>
          </cell>
          <cell r="I13" t="str">
            <v>50</v>
          </cell>
          <cell r="J13" t="str">
            <v>Không vượt khung</v>
          </cell>
          <cell r="K13">
            <v>0</v>
          </cell>
          <cell r="L13" t="str">
            <v>01</v>
          </cell>
          <cell r="M13" t="str">
            <v>Hưởng khu vực</v>
          </cell>
          <cell r="N13">
            <v>0.2</v>
          </cell>
          <cell r="O13" t="str">
            <v>50</v>
          </cell>
          <cell r="P13" t="str">
            <v>Không thâm niên nghề</v>
          </cell>
          <cell r="Q13">
            <v>0</v>
          </cell>
          <cell r="R13" t="str">
            <v>09</v>
          </cell>
          <cell r="S13" t="str">
            <v>Không độc hại</v>
          </cell>
          <cell r="T13">
            <v>0</v>
          </cell>
          <cell r="U13" t="str">
            <v>09</v>
          </cell>
          <cell r="V13" t="str">
            <v>Không hưởng ưu đãi nghề</v>
          </cell>
          <cell r="W13">
            <v>0</v>
          </cell>
          <cell r="X13" t="str">
            <v>09</v>
          </cell>
          <cell r="Y13" t="str">
            <v>Không trách nhiệm</v>
          </cell>
          <cell r="Z13">
            <v>0</v>
          </cell>
          <cell r="AA13" t="str">
            <v>09</v>
          </cell>
          <cell r="AB13" t="str">
            <v>Không phụ kiện hợp đồng</v>
          </cell>
          <cell r="AC13">
            <v>0</v>
          </cell>
          <cell r="AD13" t="str">
            <v>09</v>
          </cell>
          <cell r="AE13" t="str">
            <v>Không kiêm nhiệm</v>
          </cell>
          <cell r="AF13">
            <v>0</v>
          </cell>
          <cell r="AG13" t="str">
            <v>01</v>
          </cell>
          <cell r="AH13" t="str">
            <v>Phu cấp 116 70%</v>
          </cell>
          <cell r="AI13">
            <v>0</v>
          </cell>
          <cell r="AJ13" t="str">
            <v>09</v>
          </cell>
          <cell r="AK13" t="str">
            <v>Khác</v>
          </cell>
          <cell r="AL13">
            <v>0</v>
          </cell>
        </row>
        <row r="14">
          <cell r="A14" t="str">
            <v>12</v>
          </cell>
          <cell r="B14" t="str">
            <v>Nguyễn Xuân Hiếu</v>
          </cell>
          <cell r="C14" t="str">
            <v>05</v>
          </cell>
          <cell r="D14" t="str">
            <v>Bậc 05</v>
          </cell>
          <cell r="E14">
            <v>3.66</v>
          </cell>
          <cell r="F14" t="str">
            <v>04</v>
          </cell>
          <cell r="G14" t="str">
            <v>P.TP</v>
          </cell>
          <cell r="H14">
            <v>0.3</v>
          </cell>
          <cell r="I14" t="str">
            <v>50</v>
          </cell>
          <cell r="J14" t="str">
            <v>Không vượt khung</v>
          </cell>
          <cell r="K14">
            <v>0</v>
          </cell>
          <cell r="L14" t="str">
            <v>01</v>
          </cell>
          <cell r="M14" t="str">
            <v>Hưởng khu vực</v>
          </cell>
          <cell r="N14">
            <v>0.2</v>
          </cell>
          <cell r="O14" t="str">
            <v>50</v>
          </cell>
          <cell r="P14" t="str">
            <v>Không thâm niên nghề</v>
          </cell>
          <cell r="Q14">
            <v>0</v>
          </cell>
          <cell r="R14" t="str">
            <v>09</v>
          </cell>
          <cell r="S14" t="str">
            <v>Không độc hại</v>
          </cell>
          <cell r="T14">
            <v>0</v>
          </cell>
          <cell r="U14" t="str">
            <v>09</v>
          </cell>
          <cell r="V14" t="str">
            <v>Không hưởng ưu đãi nghề</v>
          </cell>
          <cell r="W14">
            <v>0</v>
          </cell>
          <cell r="X14" t="str">
            <v>09</v>
          </cell>
          <cell r="Y14" t="str">
            <v>Không trách nhiệm</v>
          </cell>
          <cell r="Z14">
            <v>0</v>
          </cell>
          <cell r="AA14" t="str">
            <v>09</v>
          </cell>
          <cell r="AB14" t="str">
            <v>Không phụ kiện hợp đồng</v>
          </cell>
          <cell r="AC14">
            <v>0</v>
          </cell>
          <cell r="AD14" t="str">
            <v>09</v>
          </cell>
          <cell r="AE14" t="str">
            <v>Không kiêm nhiệm</v>
          </cell>
          <cell r="AF14">
            <v>0</v>
          </cell>
          <cell r="AG14" t="str">
            <v>09</v>
          </cell>
          <cell r="AH14" t="str">
            <v>Không kiêm nhiệm</v>
          </cell>
          <cell r="AI14">
            <v>0</v>
          </cell>
          <cell r="AJ14" t="str">
            <v>02</v>
          </cell>
          <cell r="AK14" t="str">
            <v>Phụ cấp 116 70%</v>
          </cell>
          <cell r="AL14">
            <v>0</v>
          </cell>
          <cell r="AN14" t="str">
            <v>TL: 01/01/2018</v>
          </cell>
        </row>
        <row r="15">
          <cell r="A15" t="str">
            <v>13</v>
          </cell>
          <cell r="B15" t="str">
            <v>Nguyễn Thị Kim Trinh</v>
          </cell>
          <cell r="C15" t="str">
            <v>03</v>
          </cell>
          <cell r="D15" t="str">
            <v>Bậc 03</v>
          </cell>
          <cell r="E15">
            <v>2.2599999999999998</v>
          </cell>
          <cell r="F15" t="str">
            <v>05</v>
          </cell>
          <cell r="G15" t="str">
            <v>NV</v>
          </cell>
          <cell r="H15">
            <v>0</v>
          </cell>
          <cell r="I15" t="str">
            <v>50</v>
          </cell>
          <cell r="J15" t="str">
            <v>Không vượt khung</v>
          </cell>
          <cell r="K15">
            <v>0</v>
          </cell>
          <cell r="L15" t="str">
            <v>01</v>
          </cell>
          <cell r="M15" t="str">
            <v>Hưởng khu vực</v>
          </cell>
          <cell r="N15">
            <v>0.2</v>
          </cell>
          <cell r="O15" t="str">
            <v>50</v>
          </cell>
          <cell r="P15" t="str">
            <v>Không thâm niên nghề</v>
          </cell>
          <cell r="Q15">
            <v>0</v>
          </cell>
          <cell r="R15" t="str">
            <v>09</v>
          </cell>
          <cell r="S15" t="str">
            <v>Không độc hại</v>
          </cell>
          <cell r="T15">
            <v>0</v>
          </cell>
          <cell r="U15" t="str">
            <v>09</v>
          </cell>
          <cell r="V15" t="str">
            <v>Không hưởng ưu đãi nghề</v>
          </cell>
          <cell r="W15">
            <v>0</v>
          </cell>
          <cell r="X15" t="str">
            <v>09</v>
          </cell>
          <cell r="Y15" t="str">
            <v>Không trách nhiệm</v>
          </cell>
          <cell r="Z15">
            <v>0</v>
          </cell>
          <cell r="AA15" t="str">
            <v>09</v>
          </cell>
          <cell r="AB15" t="str">
            <v>Không phụ kiện hợp đồng</v>
          </cell>
          <cell r="AC15">
            <v>0</v>
          </cell>
          <cell r="AD15" t="str">
            <v>09</v>
          </cell>
          <cell r="AE15" t="str">
            <v>Không kiêm nhiệm</v>
          </cell>
          <cell r="AF15">
            <v>0</v>
          </cell>
          <cell r="AG15" t="str">
            <v>09</v>
          </cell>
          <cell r="AH15" t="str">
            <v>Không kiêm nhiệm</v>
          </cell>
          <cell r="AI15">
            <v>0</v>
          </cell>
          <cell r="AJ15" t="str">
            <v>01</v>
          </cell>
          <cell r="AK15" t="str">
            <v>Phụ cấp 116 50%</v>
          </cell>
          <cell r="AL15">
            <v>0</v>
          </cell>
          <cell r="AN15" t="str">
            <v>PCLN: 1/10/2016</v>
          </cell>
        </row>
        <row r="16">
          <cell r="A16" t="str">
            <v>14</v>
          </cell>
          <cell r="B16" t="str">
            <v>Nguyễn Thị Hằng</v>
          </cell>
          <cell r="C16" t="str">
            <v>02</v>
          </cell>
          <cell r="D16" t="str">
            <v>Bậc 02</v>
          </cell>
          <cell r="E16">
            <v>2.67</v>
          </cell>
          <cell r="F16" t="str">
            <v>05</v>
          </cell>
          <cell r="G16" t="str">
            <v>NV</v>
          </cell>
          <cell r="H16">
            <v>0</v>
          </cell>
          <cell r="I16" t="str">
            <v>50</v>
          </cell>
          <cell r="J16" t="str">
            <v>Không vượt khung</v>
          </cell>
          <cell r="K16">
            <v>0</v>
          </cell>
          <cell r="L16" t="str">
            <v>01</v>
          </cell>
          <cell r="M16" t="str">
            <v>Hưởng khu vực</v>
          </cell>
          <cell r="N16">
            <v>0.2</v>
          </cell>
          <cell r="O16" t="str">
            <v>50</v>
          </cell>
          <cell r="P16" t="str">
            <v>Không thâm niên nghề</v>
          </cell>
          <cell r="Q16">
            <v>0</v>
          </cell>
          <cell r="R16" t="str">
            <v>09</v>
          </cell>
          <cell r="S16" t="str">
            <v>Không độc hại</v>
          </cell>
          <cell r="T16">
            <v>0</v>
          </cell>
          <cell r="U16" t="str">
            <v>09</v>
          </cell>
          <cell r="V16" t="str">
            <v>Không hưởng ưu đãi nghề</v>
          </cell>
          <cell r="W16">
            <v>0</v>
          </cell>
          <cell r="X16" t="str">
            <v>09</v>
          </cell>
          <cell r="Y16" t="str">
            <v>Không trách nhiệm</v>
          </cell>
          <cell r="Z16">
            <v>0</v>
          </cell>
          <cell r="AA16" t="str">
            <v>09</v>
          </cell>
          <cell r="AB16" t="str">
            <v>Không phụ kiện hợp đồng</v>
          </cell>
          <cell r="AC16">
            <v>0</v>
          </cell>
          <cell r="AD16" t="str">
            <v>09</v>
          </cell>
          <cell r="AE16" t="str">
            <v>Không kiêm nhiệm</v>
          </cell>
          <cell r="AF16">
            <v>0</v>
          </cell>
          <cell r="AG16" t="str">
            <v>01</v>
          </cell>
          <cell r="AH16" t="str">
            <v>Phu cấp 116 70%</v>
          </cell>
          <cell r="AI16">
            <v>0</v>
          </cell>
          <cell r="AJ16" t="str">
            <v>01</v>
          </cell>
          <cell r="AK16" t="str">
            <v>Phụ cấp 116 50%</v>
          </cell>
          <cell r="AL16">
            <v>0</v>
          </cell>
          <cell r="AN16" t="str">
            <v>PCLN: 1/12/2016</v>
          </cell>
        </row>
        <row r="17">
          <cell r="A17" t="str">
            <v>15</v>
          </cell>
          <cell r="B17" t="str">
            <v>Nguyễn Văn Thái</v>
          </cell>
          <cell r="C17" t="str">
            <v>03</v>
          </cell>
          <cell r="D17" t="str">
            <v>Bậc 03</v>
          </cell>
          <cell r="E17">
            <v>5.08</v>
          </cell>
          <cell r="F17" t="str">
            <v>05</v>
          </cell>
          <cell r="G17" t="str">
            <v>NV</v>
          </cell>
          <cell r="H17">
            <v>0</v>
          </cell>
          <cell r="I17" t="str">
            <v>50</v>
          </cell>
          <cell r="J17" t="str">
            <v>Không vượt khung</v>
          </cell>
          <cell r="K17">
            <v>0</v>
          </cell>
          <cell r="L17" t="str">
            <v>01</v>
          </cell>
          <cell r="M17" t="str">
            <v>Hưởng khu vực</v>
          </cell>
          <cell r="N17">
            <v>0.2</v>
          </cell>
          <cell r="O17" t="str">
            <v>29</v>
          </cell>
          <cell r="P17" t="str">
            <v>Thâm niên nghề 29%</v>
          </cell>
          <cell r="Q17">
            <v>1.4731999999999998</v>
          </cell>
          <cell r="R17" t="str">
            <v>09</v>
          </cell>
          <cell r="S17" t="str">
            <v>Không độc hại</v>
          </cell>
          <cell r="T17">
            <v>0</v>
          </cell>
          <cell r="U17" t="str">
            <v>01</v>
          </cell>
          <cell r="V17" t="str">
            <v>Hưởng 20% ưu đãi nghề</v>
          </cell>
          <cell r="W17">
            <v>1.016</v>
          </cell>
          <cell r="X17" t="str">
            <v>09</v>
          </cell>
          <cell r="Y17" t="str">
            <v>Không trách nhiệm</v>
          </cell>
          <cell r="Z17">
            <v>0</v>
          </cell>
          <cell r="AA17" t="str">
            <v>09</v>
          </cell>
          <cell r="AB17" t="str">
            <v>Không phụ kiện hợp đồng</v>
          </cell>
          <cell r="AC17">
            <v>0</v>
          </cell>
          <cell r="AD17" t="str">
            <v>09</v>
          </cell>
          <cell r="AE17" t="str">
            <v>Không kiêm nhiệm</v>
          </cell>
          <cell r="AF17">
            <v>0</v>
          </cell>
          <cell r="AG17" t="str">
            <v>01</v>
          </cell>
          <cell r="AH17" t="str">
            <v>Phu cấp 116 70%</v>
          </cell>
          <cell r="AI17">
            <v>0</v>
          </cell>
          <cell r="AJ17" t="str">
            <v>02</v>
          </cell>
          <cell r="AK17" t="str">
            <v>Phụ cấp 116 70%</v>
          </cell>
          <cell r="AL17">
            <v>0</v>
          </cell>
          <cell r="AN17" t="str">
            <v>TL: 01/09/2012</v>
          </cell>
        </row>
        <row r="18">
          <cell r="A18" t="str">
            <v>16</v>
          </cell>
          <cell r="B18" t="str">
            <v>Nguyễn Xuân Phát</v>
          </cell>
          <cell r="C18" t="str">
            <v>08</v>
          </cell>
          <cell r="D18" t="str">
            <v>Bậc 08</v>
          </cell>
          <cell r="E18">
            <v>4.6500000000000004</v>
          </cell>
          <cell r="F18" t="str">
            <v>08</v>
          </cell>
          <cell r="G18" t="str">
            <v>P.HT</v>
          </cell>
          <cell r="H18">
            <v>0.3</v>
          </cell>
          <cell r="I18" t="str">
            <v>50</v>
          </cell>
          <cell r="J18" t="str">
            <v>Không vượt khung</v>
          </cell>
          <cell r="K18">
            <v>0</v>
          </cell>
          <cell r="L18" t="str">
            <v>01</v>
          </cell>
          <cell r="M18" t="str">
            <v>Hưởng khu vực</v>
          </cell>
          <cell r="N18">
            <v>0.2</v>
          </cell>
          <cell r="O18" t="str">
            <v>22</v>
          </cell>
          <cell r="P18" t="str">
            <v>Thâm niên nghề 22%</v>
          </cell>
          <cell r="Q18">
            <v>1.089</v>
          </cell>
          <cell r="R18" t="str">
            <v>09</v>
          </cell>
          <cell r="S18" t="str">
            <v>Không độc hại</v>
          </cell>
          <cell r="T18">
            <v>0</v>
          </cell>
          <cell r="U18" t="str">
            <v>01</v>
          </cell>
          <cell r="V18" t="str">
            <v>Hưởng 20% ưu đãi nghề</v>
          </cell>
          <cell r="W18">
            <v>0.9900000000000001</v>
          </cell>
          <cell r="X18" t="str">
            <v>09</v>
          </cell>
          <cell r="Y18" t="str">
            <v>Không trách nhiệm</v>
          </cell>
          <cell r="Z18">
            <v>0</v>
          </cell>
          <cell r="AA18" t="str">
            <v>09</v>
          </cell>
          <cell r="AB18" t="str">
            <v>Không phụ kiện hợp đồng</v>
          </cell>
          <cell r="AC18">
            <v>0</v>
          </cell>
          <cell r="AD18" t="str">
            <v>09</v>
          </cell>
          <cell r="AE18" t="str">
            <v>Không kiêm nhiệm</v>
          </cell>
          <cell r="AF18">
            <v>0</v>
          </cell>
          <cell r="AG18" t="str">
            <v>01</v>
          </cell>
          <cell r="AH18" t="str">
            <v>Phu cấp 116 70%</v>
          </cell>
          <cell r="AI18">
            <v>0</v>
          </cell>
          <cell r="AJ18" t="str">
            <v>09</v>
          </cell>
          <cell r="AK18" t="str">
            <v>Khác</v>
          </cell>
          <cell r="AL18">
            <v>0</v>
          </cell>
        </row>
        <row r="19">
          <cell r="A19" t="str">
            <v>17</v>
          </cell>
          <cell r="B19" t="str">
            <v>Lê Thanh Trị</v>
          </cell>
          <cell r="C19" t="str">
            <v>11</v>
          </cell>
          <cell r="D19" t="str">
            <v>Bậc 11</v>
          </cell>
          <cell r="E19">
            <v>3.86</v>
          </cell>
          <cell r="F19" t="str">
            <v>05</v>
          </cell>
          <cell r="G19" t="str">
            <v>NV</v>
          </cell>
          <cell r="H19">
            <v>0</v>
          </cell>
          <cell r="I19" t="str">
            <v>50</v>
          </cell>
          <cell r="J19" t="str">
            <v>Không vượt khung</v>
          </cell>
          <cell r="K19">
            <v>0</v>
          </cell>
          <cell r="L19" t="str">
            <v>01</v>
          </cell>
          <cell r="M19" t="str">
            <v>Hưởng khu vực</v>
          </cell>
          <cell r="N19">
            <v>0.2</v>
          </cell>
          <cell r="O19" t="str">
            <v>22</v>
          </cell>
          <cell r="P19" t="str">
            <v>Thâm niên nghề 22%</v>
          </cell>
          <cell r="Q19">
            <v>0.84919999999999995</v>
          </cell>
          <cell r="R19" t="str">
            <v>09</v>
          </cell>
          <cell r="S19" t="str">
            <v>Không độc hại</v>
          </cell>
          <cell r="T19">
            <v>0</v>
          </cell>
          <cell r="U19" t="str">
            <v>01</v>
          </cell>
          <cell r="V19" t="str">
            <v>Hưởng 20% ưu đãi nghề</v>
          </cell>
          <cell r="W19">
            <v>0.77200000000000002</v>
          </cell>
          <cell r="X19" t="str">
            <v>09</v>
          </cell>
          <cell r="Y19" t="str">
            <v>Không trách nhiệm</v>
          </cell>
          <cell r="Z19">
            <v>0</v>
          </cell>
          <cell r="AA19" t="str">
            <v>09</v>
          </cell>
          <cell r="AB19" t="str">
            <v>Không phụ kiện hợp đồng</v>
          </cell>
          <cell r="AC19">
            <v>0</v>
          </cell>
          <cell r="AD19" t="str">
            <v>09</v>
          </cell>
          <cell r="AE19" t="str">
            <v>Không kiêm nhiệm</v>
          </cell>
          <cell r="AF19">
            <v>0</v>
          </cell>
          <cell r="AG19" t="str">
            <v>09</v>
          </cell>
          <cell r="AH19" t="str">
            <v>Không kiêm nhiệm</v>
          </cell>
          <cell r="AI19">
            <v>0</v>
          </cell>
          <cell r="AJ19" t="str">
            <v>02</v>
          </cell>
          <cell r="AK19" t="str">
            <v>Phụ cấp 116 70%</v>
          </cell>
          <cell r="AL19">
            <v>0</v>
          </cell>
          <cell r="AN19" t="str">
            <v>TL: 01/05/2016</v>
          </cell>
        </row>
        <row r="20">
          <cell r="A20" t="str">
            <v>18</v>
          </cell>
          <cell r="B20" t="str">
            <v>Trần Văn Lực</v>
          </cell>
          <cell r="C20" t="str">
            <v>07</v>
          </cell>
          <cell r="D20" t="str">
            <v>Bậc 07</v>
          </cell>
          <cell r="E20">
            <v>3.06</v>
          </cell>
          <cell r="F20" t="str">
            <v>05</v>
          </cell>
          <cell r="G20" t="str">
            <v>NV</v>
          </cell>
          <cell r="H20">
            <v>0</v>
          </cell>
          <cell r="I20" t="str">
            <v>50</v>
          </cell>
          <cell r="J20" t="str">
            <v>Không vượt khung</v>
          </cell>
          <cell r="K20">
            <v>0</v>
          </cell>
          <cell r="L20" t="str">
            <v>01</v>
          </cell>
          <cell r="M20" t="str">
            <v>Hưởng khu vực</v>
          </cell>
          <cell r="N20">
            <v>0.2</v>
          </cell>
          <cell r="O20" t="str">
            <v>14</v>
          </cell>
          <cell r="P20" t="str">
            <v>Thâm niên nghề 14%</v>
          </cell>
          <cell r="Q20">
            <v>0.42840000000000006</v>
          </cell>
          <cell r="R20" t="str">
            <v>01</v>
          </cell>
          <cell r="S20" t="str">
            <v>Hưởng độc hại</v>
          </cell>
          <cell r="T20">
            <v>0.2</v>
          </cell>
          <cell r="U20" t="str">
            <v>02</v>
          </cell>
          <cell r="V20" t="str">
            <v>Hưởng 40% ưu đãi nghề</v>
          </cell>
          <cell r="W20">
            <v>1.2240000000000002</v>
          </cell>
          <cell r="X20" t="str">
            <v>09</v>
          </cell>
          <cell r="Y20" t="str">
            <v>Không trách nhiệm</v>
          </cell>
          <cell r="Z20">
            <v>0</v>
          </cell>
          <cell r="AA20" t="str">
            <v>09</v>
          </cell>
          <cell r="AB20" t="str">
            <v>Không phụ kiện hợp đồng</v>
          </cell>
          <cell r="AC20">
            <v>0</v>
          </cell>
          <cell r="AD20" t="str">
            <v>09</v>
          </cell>
          <cell r="AE20" t="str">
            <v>Không kiêm nhiệm</v>
          </cell>
          <cell r="AF20">
            <v>0</v>
          </cell>
          <cell r="AG20" t="str">
            <v>09</v>
          </cell>
          <cell r="AH20" t="str">
            <v>Không kiêm nhiệm</v>
          </cell>
          <cell r="AI20">
            <v>0</v>
          </cell>
          <cell r="AJ20" t="str">
            <v>02</v>
          </cell>
          <cell r="AK20" t="str">
            <v>Phụ cấp 116 70%</v>
          </cell>
          <cell r="AL20">
            <v>0</v>
          </cell>
          <cell r="AN20" t="str">
            <v>TL: 01/05/2016</v>
          </cell>
        </row>
        <row r="21">
          <cell r="A21" t="str">
            <v>19</v>
          </cell>
          <cell r="B21" t="str">
            <v>Phạm Kim Long</v>
          </cell>
          <cell r="C21" t="str">
            <v>09</v>
          </cell>
          <cell r="D21" t="str">
            <v>Bậc 09</v>
          </cell>
          <cell r="E21">
            <v>3.46</v>
          </cell>
          <cell r="F21" t="str">
            <v>05</v>
          </cell>
          <cell r="G21" t="str">
            <v>NV</v>
          </cell>
          <cell r="H21">
            <v>0</v>
          </cell>
          <cell r="I21" t="str">
            <v>50</v>
          </cell>
          <cell r="J21" t="str">
            <v>Không vượt khung</v>
          </cell>
          <cell r="K21">
            <v>0</v>
          </cell>
          <cell r="L21" t="str">
            <v>01</v>
          </cell>
          <cell r="M21" t="str">
            <v>Hưởng khu vực</v>
          </cell>
          <cell r="N21">
            <v>0.2</v>
          </cell>
          <cell r="O21" t="str">
            <v>14</v>
          </cell>
          <cell r="P21" t="str">
            <v>Thâm niên nghề 14%</v>
          </cell>
          <cell r="Q21">
            <v>0.48440000000000005</v>
          </cell>
          <cell r="R21" t="str">
            <v>09</v>
          </cell>
          <cell r="S21" t="str">
            <v>Không độc hại</v>
          </cell>
          <cell r="T21">
            <v>0</v>
          </cell>
          <cell r="U21" t="str">
            <v>01</v>
          </cell>
          <cell r="V21" t="str">
            <v>Hưởng 20% ưu đãi nghề</v>
          </cell>
          <cell r="W21">
            <v>0.69200000000000006</v>
          </cell>
          <cell r="X21" t="str">
            <v>09</v>
          </cell>
          <cell r="Y21" t="str">
            <v>Không trách nhiệm</v>
          </cell>
          <cell r="Z21">
            <v>0</v>
          </cell>
          <cell r="AA21" t="str">
            <v>09</v>
          </cell>
          <cell r="AB21" t="str">
            <v>Không phụ kiện hợp đồng</v>
          </cell>
          <cell r="AC21">
            <v>0</v>
          </cell>
          <cell r="AD21" t="str">
            <v>09</v>
          </cell>
          <cell r="AE21" t="str">
            <v>Không kiêm nhiệm</v>
          </cell>
          <cell r="AF21">
            <v>0</v>
          </cell>
          <cell r="AG21" t="str">
            <v>09</v>
          </cell>
          <cell r="AH21" t="str">
            <v>Không kiêm nhiệm</v>
          </cell>
          <cell r="AI21">
            <v>0</v>
          </cell>
          <cell r="AJ21" t="str">
            <v>02</v>
          </cell>
          <cell r="AK21" t="str">
            <v>Phụ cấp 116 70%</v>
          </cell>
          <cell r="AL21">
            <v>0</v>
          </cell>
        </row>
        <row r="22">
          <cell r="A22" t="str">
            <v>20</v>
          </cell>
          <cell r="B22" t="str">
            <v>Nguyễn Văn Bình</v>
          </cell>
          <cell r="C22" t="str">
            <v>04</v>
          </cell>
          <cell r="D22" t="str">
            <v>Bậc 04</v>
          </cell>
          <cell r="E22">
            <v>2.46</v>
          </cell>
          <cell r="F22" t="str">
            <v>05</v>
          </cell>
          <cell r="G22" t="str">
            <v>NV</v>
          </cell>
          <cell r="H22">
            <v>0</v>
          </cell>
          <cell r="I22" t="str">
            <v>50</v>
          </cell>
          <cell r="J22" t="str">
            <v>Không vượt khung</v>
          </cell>
          <cell r="K22">
            <v>0</v>
          </cell>
          <cell r="L22" t="str">
            <v>01</v>
          </cell>
          <cell r="M22" t="str">
            <v>Hưởng khu vực</v>
          </cell>
          <cell r="N22">
            <v>0.2</v>
          </cell>
          <cell r="O22" t="str">
            <v>06</v>
          </cell>
          <cell r="P22" t="str">
            <v>Thâm niên nghề 6%</v>
          </cell>
          <cell r="Q22">
            <v>0.14759999999999998</v>
          </cell>
          <cell r="R22" t="str">
            <v>01</v>
          </cell>
          <cell r="S22" t="str">
            <v>Hưởng độc hại</v>
          </cell>
          <cell r="T22">
            <v>0.2</v>
          </cell>
          <cell r="U22" t="str">
            <v>01</v>
          </cell>
          <cell r="V22" t="str">
            <v>Hưởng 20% ưu đãi nghề</v>
          </cell>
          <cell r="W22">
            <v>0.49199999999999999</v>
          </cell>
          <cell r="X22" t="str">
            <v>09</v>
          </cell>
          <cell r="Y22" t="str">
            <v>Không trách nhiệm</v>
          </cell>
          <cell r="Z22">
            <v>0</v>
          </cell>
          <cell r="AA22" t="str">
            <v>09</v>
          </cell>
          <cell r="AB22" t="str">
            <v>Không phụ kiện hợp đồng</v>
          </cell>
          <cell r="AC22">
            <v>0</v>
          </cell>
          <cell r="AD22" t="str">
            <v>09</v>
          </cell>
          <cell r="AE22" t="str">
            <v>Không kiêm nhiệm</v>
          </cell>
          <cell r="AF22">
            <v>0</v>
          </cell>
          <cell r="AG22" t="str">
            <v>09</v>
          </cell>
          <cell r="AH22" t="str">
            <v>Không kiêm nhiệm</v>
          </cell>
          <cell r="AI22">
            <v>0</v>
          </cell>
          <cell r="AJ22" t="str">
            <v>01</v>
          </cell>
          <cell r="AK22" t="str">
            <v>Phụ cấp 116 50%</v>
          </cell>
          <cell r="AL22">
            <v>0</v>
          </cell>
        </row>
        <row r="23">
          <cell r="A23" t="str">
            <v>21</v>
          </cell>
          <cell r="B23" t="str">
            <v>Nguyễn Minh Thuận</v>
          </cell>
          <cell r="C23" t="str">
            <v>04</v>
          </cell>
          <cell r="D23" t="str">
            <v>Bậc 04</v>
          </cell>
          <cell r="E23">
            <v>2.46</v>
          </cell>
          <cell r="F23" t="str">
            <v>05</v>
          </cell>
          <cell r="G23" t="str">
            <v>NV</v>
          </cell>
          <cell r="H23">
            <v>0</v>
          </cell>
          <cell r="I23" t="str">
            <v>50</v>
          </cell>
          <cell r="J23" t="str">
            <v>Không vượt khung</v>
          </cell>
          <cell r="K23">
            <v>0</v>
          </cell>
          <cell r="L23" t="str">
            <v>01</v>
          </cell>
          <cell r="M23" t="str">
            <v>Hưởng khu vực</v>
          </cell>
          <cell r="N23">
            <v>0.2</v>
          </cell>
          <cell r="O23" t="str">
            <v>06</v>
          </cell>
          <cell r="P23" t="str">
            <v>Thâm niên nghề 6%</v>
          </cell>
          <cell r="Q23">
            <v>0.14759999999999998</v>
          </cell>
          <cell r="R23" t="str">
            <v>01</v>
          </cell>
          <cell r="S23" t="str">
            <v>Hưởng độc hại</v>
          </cell>
          <cell r="T23">
            <v>0.2</v>
          </cell>
          <cell r="U23" t="str">
            <v>01</v>
          </cell>
          <cell r="V23" t="str">
            <v>Hưởng 20% ưu đãi nghề</v>
          </cell>
          <cell r="W23">
            <v>0.49199999999999999</v>
          </cell>
          <cell r="X23" t="str">
            <v>09</v>
          </cell>
          <cell r="Y23" t="str">
            <v>Không trách nhiệm</v>
          </cell>
          <cell r="Z23">
            <v>0</v>
          </cell>
          <cell r="AA23" t="str">
            <v>09</v>
          </cell>
          <cell r="AB23" t="str">
            <v>Không phụ kiện hợp đồng</v>
          </cell>
          <cell r="AC23">
            <v>0</v>
          </cell>
          <cell r="AD23" t="str">
            <v>09</v>
          </cell>
          <cell r="AE23" t="str">
            <v>Không kiêm nhiệm</v>
          </cell>
          <cell r="AF23">
            <v>0</v>
          </cell>
          <cell r="AG23" t="str">
            <v>09</v>
          </cell>
          <cell r="AH23" t="str">
            <v>Không kiêm nhiệm</v>
          </cell>
          <cell r="AI23">
            <v>0</v>
          </cell>
          <cell r="AJ23" t="str">
            <v>01</v>
          </cell>
          <cell r="AK23" t="str">
            <v>Phụ cấp 116 50%</v>
          </cell>
          <cell r="AL23">
            <v>0</v>
          </cell>
        </row>
        <row r="24">
          <cell r="A24" t="str">
            <v>22</v>
          </cell>
          <cell r="B24" t="str">
            <v>Phan Sỹ Thế</v>
          </cell>
          <cell r="C24" t="str">
            <v>04</v>
          </cell>
          <cell r="D24" t="str">
            <v>Bậc 04</v>
          </cell>
          <cell r="E24">
            <v>2.46</v>
          </cell>
          <cell r="F24" t="str">
            <v>05</v>
          </cell>
          <cell r="G24" t="str">
            <v>NV</v>
          </cell>
          <cell r="H24">
            <v>0</v>
          </cell>
          <cell r="I24" t="str">
            <v>50</v>
          </cell>
          <cell r="J24" t="str">
            <v>Không vượt khung</v>
          </cell>
          <cell r="K24">
            <v>0</v>
          </cell>
          <cell r="L24" t="str">
            <v>01</v>
          </cell>
          <cell r="M24" t="str">
            <v>Hưởng khu vực</v>
          </cell>
          <cell r="N24">
            <v>0.2</v>
          </cell>
          <cell r="O24" t="str">
            <v>50</v>
          </cell>
          <cell r="P24" t="str">
            <v>Không thâm niên nghề</v>
          </cell>
          <cell r="Q24">
            <v>0</v>
          </cell>
          <cell r="R24" t="str">
            <v>09</v>
          </cell>
          <cell r="S24" t="str">
            <v>Không độc hại</v>
          </cell>
          <cell r="T24">
            <v>0</v>
          </cell>
          <cell r="U24" t="str">
            <v>01</v>
          </cell>
          <cell r="V24" t="str">
            <v>Hưởng 20% ưu đãi nghề</v>
          </cell>
          <cell r="W24">
            <v>0.49199999999999999</v>
          </cell>
          <cell r="X24" t="str">
            <v>09</v>
          </cell>
          <cell r="Y24" t="str">
            <v>Không trách nhiệm</v>
          </cell>
          <cell r="Z24">
            <v>0</v>
          </cell>
          <cell r="AA24" t="str">
            <v>09</v>
          </cell>
          <cell r="AB24" t="str">
            <v>Không phụ kiện hợp đồng</v>
          </cell>
          <cell r="AC24">
            <v>0</v>
          </cell>
          <cell r="AD24" t="str">
            <v>09</v>
          </cell>
          <cell r="AE24" t="str">
            <v>Không kiêm nhiệm</v>
          </cell>
          <cell r="AF24">
            <v>0</v>
          </cell>
          <cell r="AG24" t="str">
            <v>09</v>
          </cell>
          <cell r="AH24" t="str">
            <v>Không kiêm nhiệm</v>
          </cell>
          <cell r="AI24">
            <v>0</v>
          </cell>
          <cell r="AJ24" t="str">
            <v>01</v>
          </cell>
          <cell r="AK24" t="str">
            <v>Phụ cấp 116 50%</v>
          </cell>
          <cell r="AL24">
            <v>0</v>
          </cell>
        </row>
        <row r="25">
          <cell r="A25" t="str">
            <v>23</v>
          </cell>
          <cell r="B25" t="str">
            <v>Nguyễn Đức Toàn</v>
          </cell>
          <cell r="C25" t="str">
            <v>04</v>
          </cell>
          <cell r="D25" t="str">
            <v>Bậc 04</v>
          </cell>
          <cell r="E25">
            <v>2.46</v>
          </cell>
          <cell r="F25" t="str">
            <v>05</v>
          </cell>
          <cell r="G25" t="str">
            <v>NV</v>
          </cell>
          <cell r="H25">
            <v>0</v>
          </cell>
          <cell r="I25" t="str">
            <v>50</v>
          </cell>
          <cell r="J25" t="str">
            <v>Không vượt khung</v>
          </cell>
          <cell r="K25">
            <v>0</v>
          </cell>
          <cell r="L25" t="str">
            <v>01</v>
          </cell>
          <cell r="M25" t="str">
            <v>Hưởng khu vực</v>
          </cell>
          <cell r="N25">
            <v>0.2</v>
          </cell>
          <cell r="O25" t="str">
            <v>50</v>
          </cell>
          <cell r="P25" t="str">
            <v>Không thâm niên nghề</v>
          </cell>
          <cell r="Q25">
            <v>0</v>
          </cell>
          <cell r="R25" t="str">
            <v>09</v>
          </cell>
          <cell r="S25" t="str">
            <v>Không độc hại</v>
          </cell>
          <cell r="T25">
            <v>0</v>
          </cell>
          <cell r="U25" t="str">
            <v>01</v>
          </cell>
          <cell r="V25" t="str">
            <v>Hưởng 20% ưu đãi nghề</v>
          </cell>
          <cell r="W25">
            <v>0.49199999999999999</v>
          </cell>
          <cell r="X25" t="str">
            <v>09</v>
          </cell>
          <cell r="Y25" t="str">
            <v>Không trách nhiệm</v>
          </cell>
          <cell r="Z25">
            <v>0</v>
          </cell>
          <cell r="AA25" t="str">
            <v>09</v>
          </cell>
          <cell r="AB25" t="str">
            <v>Không phụ kiện hợp đồng</v>
          </cell>
          <cell r="AC25">
            <v>0</v>
          </cell>
          <cell r="AD25" t="str">
            <v>09</v>
          </cell>
          <cell r="AE25" t="str">
            <v>Không kiêm nhiệm</v>
          </cell>
          <cell r="AF25">
            <v>0</v>
          </cell>
          <cell r="AG25" t="str">
            <v>09</v>
          </cell>
          <cell r="AH25" t="str">
            <v>Không kiêm nhiệm</v>
          </cell>
          <cell r="AI25">
            <v>0</v>
          </cell>
          <cell r="AJ25" t="str">
            <v>01</v>
          </cell>
          <cell r="AK25" t="str">
            <v>Phụ cấp 116 50%</v>
          </cell>
          <cell r="AL25">
            <v>0</v>
          </cell>
        </row>
        <row r="26">
          <cell r="A26" t="str">
            <v>24</v>
          </cell>
          <cell r="B26" t="str">
            <v>Bùi Đông Phú</v>
          </cell>
          <cell r="C26" t="str">
            <v>04</v>
          </cell>
          <cell r="D26" t="str">
            <v>Bậc 04</v>
          </cell>
          <cell r="E26">
            <v>2.46</v>
          </cell>
          <cell r="F26" t="str">
            <v>05</v>
          </cell>
          <cell r="G26" t="str">
            <v>NV</v>
          </cell>
          <cell r="H26">
            <v>0</v>
          </cell>
          <cell r="I26" t="str">
            <v>50</v>
          </cell>
          <cell r="J26" t="str">
            <v>Không vượt khung</v>
          </cell>
          <cell r="K26">
            <v>0</v>
          </cell>
          <cell r="L26" t="str">
            <v>01</v>
          </cell>
          <cell r="M26" t="str">
            <v>Hưởng khu vực</v>
          </cell>
          <cell r="N26">
            <v>0.2</v>
          </cell>
          <cell r="O26" t="str">
            <v>50</v>
          </cell>
          <cell r="P26" t="str">
            <v>Không thâm niên nghề</v>
          </cell>
          <cell r="Q26">
            <v>0</v>
          </cell>
          <cell r="R26" t="str">
            <v>09</v>
          </cell>
          <cell r="S26" t="str">
            <v>Không độc hại</v>
          </cell>
          <cell r="T26">
            <v>0</v>
          </cell>
          <cell r="U26" t="str">
            <v>01</v>
          </cell>
          <cell r="V26" t="str">
            <v>Hưởng 20% ưu đãi nghề</v>
          </cell>
          <cell r="W26">
            <v>0.49199999999999999</v>
          </cell>
          <cell r="X26" t="str">
            <v>09</v>
          </cell>
          <cell r="Y26" t="str">
            <v>Không trách nhiệm</v>
          </cell>
          <cell r="Z26">
            <v>0</v>
          </cell>
          <cell r="AA26" t="str">
            <v>09</v>
          </cell>
          <cell r="AB26" t="str">
            <v>Không phụ kiện hợp đồng</v>
          </cell>
          <cell r="AC26">
            <v>0</v>
          </cell>
          <cell r="AD26" t="str">
            <v>09</v>
          </cell>
          <cell r="AE26" t="str">
            <v>Không kiêm nhiệm</v>
          </cell>
          <cell r="AF26">
            <v>0</v>
          </cell>
          <cell r="AG26" t="str">
            <v>09</v>
          </cell>
          <cell r="AH26" t="str">
            <v>Không kiêm nhiệm</v>
          </cell>
          <cell r="AI26">
            <v>0</v>
          </cell>
          <cell r="AJ26" t="str">
            <v>01</v>
          </cell>
          <cell r="AK26" t="str">
            <v>Phụ cấp 116 50%</v>
          </cell>
          <cell r="AL26">
            <v>0</v>
          </cell>
          <cell r="AN26" t="str">
            <v>TL: 01/04/2012</v>
          </cell>
        </row>
        <row r="27">
          <cell r="A27" t="str">
            <v>25</v>
          </cell>
          <cell r="B27" t="str">
            <v>Mai Duy Tuân</v>
          </cell>
          <cell r="C27" t="str">
            <v>03</v>
          </cell>
          <cell r="D27" t="str">
            <v>Bậc 03</v>
          </cell>
          <cell r="E27">
            <v>2.2599999999999998</v>
          </cell>
          <cell r="F27" t="str">
            <v>05</v>
          </cell>
          <cell r="G27" t="str">
            <v>NV</v>
          </cell>
          <cell r="H27">
            <v>0</v>
          </cell>
          <cell r="I27" t="str">
            <v>50</v>
          </cell>
          <cell r="J27" t="str">
            <v>Không vượt khung</v>
          </cell>
          <cell r="K27">
            <v>0</v>
          </cell>
          <cell r="L27" t="str">
            <v>01</v>
          </cell>
          <cell r="M27" t="str">
            <v>Hưởng khu vực</v>
          </cell>
          <cell r="N27">
            <v>0.2</v>
          </cell>
          <cell r="O27" t="str">
            <v>50</v>
          </cell>
          <cell r="P27" t="str">
            <v>Không thâm niên nghề</v>
          </cell>
          <cell r="Q27">
            <v>0</v>
          </cell>
          <cell r="R27" t="str">
            <v>09</v>
          </cell>
          <cell r="S27" t="str">
            <v>Không độc hại</v>
          </cell>
          <cell r="T27">
            <v>0</v>
          </cell>
          <cell r="U27" t="str">
            <v>01</v>
          </cell>
          <cell r="V27" t="str">
            <v>Hưởng 20% ưu đãi nghề</v>
          </cell>
          <cell r="W27">
            <v>0.45199999999999996</v>
          </cell>
          <cell r="X27" t="str">
            <v>09</v>
          </cell>
          <cell r="Y27" t="str">
            <v>Không trách nhiệm</v>
          </cell>
          <cell r="Z27">
            <v>0</v>
          </cell>
          <cell r="AA27" t="str">
            <v>09</v>
          </cell>
          <cell r="AB27" t="str">
            <v>Không phụ kiện hợp đồng</v>
          </cell>
          <cell r="AC27">
            <v>0</v>
          </cell>
          <cell r="AD27" t="str">
            <v>09</v>
          </cell>
          <cell r="AE27" t="str">
            <v>Không kiêm nhiệm</v>
          </cell>
          <cell r="AF27">
            <v>0</v>
          </cell>
          <cell r="AG27" t="str">
            <v>01</v>
          </cell>
          <cell r="AH27" t="str">
            <v>Phu cấp 116 70%</v>
          </cell>
          <cell r="AI27">
            <v>0</v>
          </cell>
          <cell r="AJ27" t="str">
            <v>09</v>
          </cell>
          <cell r="AK27" t="str">
            <v>Khác</v>
          </cell>
          <cell r="AL27">
            <v>0</v>
          </cell>
          <cell r="AN27" t="str">
            <v>TL: 01/05/2017</v>
          </cell>
        </row>
        <row r="28">
          <cell r="A28" t="str">
            <v>26</v>
          </cell>
          <cell r="B28" t="str">
            <v>Lê Văn Nam</v>
          </cell>
          <cell r="C28" t="str">
            <v>02</v>
          </cell>
          <cell r="D28" t="str">
            <v>Bậc 02</v>
          </cell>
          <cell r="E28">
            <v>2.67</v>
          </cell>
          <cell r="F28" t="str">
            <v>05</v>
          </cell>
          <cell r="G28" t="str">
            <v>NV</v>
          </cell>
          <cell r="H28">
            <v>0</v>
          </cell>
          <cell r="I28" t="str">
            <v>50</v>
          </cell>
          <cell r="J28" t="str">
            <v>Không vượt khung</v>
          </cell>
          <cell r="K28">
            <v>0</v>
          </cell>
          <cell r="L28" t="str">
            <v>01</v>
          </cell>
          <cell r="M28" t="str">
            <v>Hưởng khu vực</v>
          </cell>
          <cell r="N28">
            <v>0.2</v>
          </cell>
          <cell r="O28" t="str">
            <v>50</v>
          </cell>
          <cell r="P28" t="str">
            <v>Không thâm niên nghề</v>
          </cell>
          <cell r="Q28">
            <v>0</v>
          </cell>
          <cell r="R28" t="str">
            <v>09</v>
          </cell>
          <cell r="S28" t="str">
            <v>Không độc hại</v>
          </cell>
          <cell r="T28">
            <v>0</v>
          </cell>
          <cell r="U28" t="str">
            <v>01</v>
          </cell>
          <cell r="V28" t="str">
            <v>Hưởng 20% ưu đãi nghề</v>
          </cell>
          <cell r="W28">
            <v>0.53400000000000003</v>
          </cell>
          <cell r="X28" t="str">
            <v>09</v>
          </cell>
          <cell r="Y28" t="str">
            <v>Không trách nhiệm</v>
          </cell>
          <cell r="Z28">
            <v>0</v>
          </cell>
          <cell r="AA28" t="str">
            <v>09</v>
          </cell>
          <cell r="AB28" t="str">
            <v>Không phụ kiện hợp đồng</v>
          </cell>
          <cell r="AC28">
            <v>0</v>
          </cell>
          <cell r="AD28" t="str">
            <v>09</v>
          </cell>
          <cell r="AE28" t="str">
            <v>Không kiêm nhiệm</v>
          </cell>
          <cell r="AF28">
            <v>0</v>
          </cell>
          <cell r="AG28" t="str">
            <v>01</v>
          </cell>
          <cell r="AH28" t="str">
            <v>Phu cấp 116 70%</v>
          </cell>
          <cell r="AI28">
            <v>0</v>
          </cell>
          <cell r="AJ28" t="str">
            <v>09</v>
          </cell>
          <cell r="AK28" t="str">
            <v>Khác</v>
          </cell>
          <cell r="AL28">
            <v>0</v>
          </cell>
          <cell r="AN28" t="str">
            <v>TL: 01/06/2017</v>
          </cell>
        </row>
        <row r="29">
          <cell r="A29" t="str">
            <v>27</v>
          </cell>
          <cell r="B29" t="str">
            <v>Nguyễn Thành Sơn</v>
          </cell>
          <cell r="C29" t="str">
            <v>05</v>
          </cell>
          <cell r="D29" t="str">
            <v>Bậc 05</v>
          </cell>
          <cell r="E29">
            <v>2.66</v>
          </cell>
          <cell r="F29" t="str">
            <v>05</v>
          </cell>
          <cell r="G29" t="str">
            <v>NV</v>
          </cell>
          <cell r="H29">
            <v>0</v>
          </cell>
          <cell r="I29" t="str">
            <v>50</v>
          </cell>
          <cell r="J29" t="str">
            <v>Không vượt khung</v>
          </cell>
          <cell r="K29">
            <v>0</v>
          </cell>
          <cell r="L29" t="str">
            <v>01</v>
          </cell>
          <cell r="M29" t="str">
            <v>Hưởng khu vực</v>
          </cell>
          <cell r="N29">
            <v>0.2</v>
          </cell>
          <cell r="O29" t="str">
            <v>50</v>
          </cell>
          <cell r="P29" t="str">
            <v>Không thâm niên nghề</v>
          </cell>
          <cell r="Q29">
            <v>0</v>
          </cell>
          <cell r="R29" t="str">
            <v>09</v>
          </cell>
          <cell r="S29" t="str">
            <v>Không độc hại</v>
          </cell>
          <cell r="T29">
            <v>0</v>
          </cell>
          <cell r="U29" t="str">
            <v>09</v>
          </cell>
          <cell r="V29" t="str">
            <v>Không hưởng ưu đãi nghề</v>
          </cell>
          <cell r="W29">
            <v>0</v>
          </cell>
          <cell r="X29" t="str">
            <v>09</v>
          </cell>
          <cell r="Y29" t="str">
            <v>Không trách nhiệm</v>
          </cell>
          <cell r="Z29">
            <v>0</v>
          </cell>
          <cell r="AA29" t="str">
            <v>09</v>
          </cell>
          <cell r="AB29" t="str">
            <v>Không phụ kiện hợp đồng</v>
          </cell>
          <cell r="AC29">
            <v>0</v>
          </cell>
          <cell r="AD29" t="str">
            <v>09</v>
          </cell>
          <cell r="AE29" t="str">
            <v>Không kiêm nhiệm</v>
          </cell>
          <cell r="AF29">
            <v>0</v>
          </cell>
          <cell r="AG29" t="str">
            <v>09</v>
          </cell>
          <cell r="AH29" t="str">
            <v>Không kiêm nhiệm</v>
          </cell>
          <cell r="AI29">
            <v>0</v>
          </cell>
          <cell r="AJ29" t="str">
            <v>01</v>
          </cell>
          <cell r="AK29" t="str">
            <v>Phụ cấp 116 50%</v>
          </cell>
          <cell r="AL29">
            <v>0</v>
          </cell>
          <cell r="AN29" t="str">
            <v>TL: 01/03/2017</v>
          </cell>
        </row>
        <row r="30">
          <cell r="A30" t="str">
            <v>28</v>
          </cell>
          <cell r="B30" t="str">
            <v>Phạm Xuân Thành</v>
          </cell>
          <cell r="C30" t="str">
            <v>05</v>
          </cell>
          <cell r="D30" t="str">
            <v>Bậc 05</v>
          </cell>
          <cell r="E30">
            <v>3.66</v>
          </cell>
          <cell r="F30" t="str">
            <v>03</v>
          </cell>
          <cell r="G30" t="str">
            <v>TP</v>
          </cell>
          <cell r="H30">
            <v>0.5</v>
          </cell>
          <cell r="I30" t="str">
            <v>50</v>
          </cell>
          <cell r="J30" t="str">
            <v>Không vượt khung</v>
          </cell>
          <cell r="K30">
            <v>0</v>
          </cell>
          <cell r="L30" t="str">
            <v>01</v>
          </cell>
          <cell r="M30" t="str">
            <v>Hưởng khu vực</v>
          </cell>
          <cell r="N30">
            <v>0.2</v>
          </cell>
          <cell r="O30" t="str">
            <v>50</v>
          </cell>
          <cell r="P30" t="str">
            <v>Không thâm niên nghề</v>
          </cell>
          <cell r="Q30">
            <v>0</v>
          </cell>
          <cell r="R30" t="str">
            <v>09</v>
          </cell>
          <cell r="S30" t="str">
            <v>Không độc hại</v>
          </cell>
          <cell r="T30">
            <v>0</v>
          </cell>
          <cell r="U30" t="str">
            <v>09</v>
          </cell>
          <cell r="V30" t="str">
            <v>Không hưởng ưu đãi nghề</v>
          </cell>
          <cell r="W30">
            <v>0</v>
          </cell>
          <cell r="X30" t="str">
            <v>09</v>
          </cell>
          <cell r="Y30" t="str">
            <v>Không trách nhiệm</v>
          </cell>
          <cell r="Z30">
            <v>0</v>
          </cell>
          <cell r="AA30" t="str">
            <v>09</v>
          </cell>
          <cell r="AB30" t="str">
            <v>Không phụ kiện hợp đồng</v>
          </cell>
          <cell r="AC30">
            <v>0</v>
          </cell>
          <cell r="AD30" t="str">
            <v>09</v>
          </cell>
          <cell r="AE30" t="str">
            <v>Không kiêm nhiệm</v>
          </cell>
          <cell r="AF30">
            <v>0</v>
          </cell>
          <cell r="AG30" t="str">
            <v>09</v>
          </cell>
          <cell r="AH30" t="str">
            <v>Không kiêm nhiệm</v>
          </cell>
          <cell r="AI30">
            <v>0</v>
          </cell>
          <cell r="AJ30" t="str">
            <v>02</v>
          </cell>
          <cell r="AK30" t="str">
            <v>Phụ cấp 116 70%</v>
          </cell>
          <cell r="AL30">
            <v>0</v>
          </cell>
          <cell r="AN30" t="str">
            <v>TL: 01/11/2016</v>
          </cell>
        </row>
        <row r="31">
          <cell r="A31" t="str">
            <v>29</v>
          </cell>
          <cell r="B31" t="str">
            <v>Nguyễn Thị Tuyết Mai</v>
          </cell>
          <cell r="C31" t="str">
            <v>03</v>
          </cell>
          <cell r="D31" t="str">
            <v>Bậc 03</v>
          </cell>
          <cell r="E31">
            <v>3</v>
          </cell>
          <cell r="F31" t="str">
            <v>04</v>
          </cell>
          <cell r="G31" t="str">
            <v>P.TP</v>
          </cell>
          <cell r="H31">
            <v>0.3</v>
          </cell>
          <cell r="I31" t="str">
            <v>50</v>
          </cell>
          <cell r="J31" t="str">
            <v>Không vượt khung</v>
          </cell>
          <cell r="K31">
            <v>0</v>
          </cell>
          <cell r="L31" t="str">
            <v>01</v>
          </cell>
          <cell r="M31" t="str">
            <v>Hưởng khu vực</v>
          </cell>
          <cell r="N31">
            <v>0.2</v>
          </cell>
          <cell r="O31" t="str">
            <v>50</v>
          </cell>
          <cell r="P31" t="str">
            <v>Không thâm niên nghề</v>
          </cell>
          <cell r="Q31">
            <v>0</v>
          </cell>
          <cell r="R31" t="str">
            <v>09</v>
          </cell>
          <cell r="S31" t="str">
            <v>Không độc hại</v>
          </cell>
          <cell r="T31">
            <v>0</v>
          </cell>
          <cell r="U31" t="str">
            <v>09</v>
          </cell>
          <cell r="V31" t="str">
            <v>Không hưởng ưu đãi nghề</v>
          </cell>
          <cell r="W31">
            <v>0</v>
          </cell>
          <cell r="X31" t="str">
            <v>09</v>
          </cell>
          <cell r="Y31" t="str">
            <v>Không trách nhiệm</v>
          </cell>
          <cell r="Z31">
            <v>0</v>
          </cell>
          <cell r="AA31" t="str">
            <v>09</v>
          </cell>
          <cell r="AB31" t="str">
            <v>Không phụ kiện hợp đồng</v>
          </cell>
          <cell r="AC31">
            <v>0</v>
          </cell>
          <cell r="AD31" t="str">
            <v>09</v>
          </cell>
          <cell r="AE31" t="str">
            <v>Không kiêm nhiệm</v>
          </cell>
          <cell r="AF31">
            <v>0</v>
          </cell>
          <cell r="AG31" t="str">
            <v>09</v>
          </cell>
          <cell r="AH31" t="str">
            <v>Không kiêm nhiệm</v>
          </cell>
          <cell r="AI31">
            <v>0</v>
          </cell>
          <cell r="AJ31" t="str">
            <v>01</v>
          </cell>
          <cell r="AK31" t="str">
            <v>Phụ cấp 116 50%</v>
          </cell>
          <cell r="AL31">
            <v>0</v>
          </cell>
          <cell r="AN31" t="str">
            <v>TL: 01/09/2018</v>
          </cell>
        </row>
        <row r="32">
          <cell r="A32" t="str">
            <v>30</v>
          </cell>
          <cell r="B32" t="str">
            <v>Nguyễn Thị Cẩm Tú</v>
          </cell>
          <cell r="C32" t="str">
            <v>05</v>
          </cell>
          <cell r="D32" t="str">
            <v>Bậc 05</v>
          </cell>
          <cell r="E32">
            <v>2.66</v>
          </cell>
          <cell r="F32" t="str">
            <v>05</v>
          </cell>
          <cell r="G32" t="str">
            <v>NV</v>
          </cell>
          <cell r="H32">
            <v>0</v>
          </cell>
          <cell r="I32" t="str">
            <v>50</v>
          </cell>
          <cell r="J32" t="str">
            <v>Không vượt khung</v>
          </cell>
          <cell r="K32">
            <v>0</v>
          </cell>
          <cell r="L32" t="str">
            <v>01</v>
          </cell>
          <cell r="M32" t="str">
            <v>Hưởng khu vực</v>
          </cell>
          <cell r="N32">
            <v>0.2</v>
          </cell>
          <cell r="O32" t="str">
            <v>50</v>
          </cell>
          <cell r="P32" t="str">
            <v>Không thâm niên nghề</v>
          </cell>
          <cell r="Q32">
            <v>0</v>
          </cell>
          <cell r="R32" t="str">
            <v>09</v>
          </cell>
          <cell r="S32" t="str">
            <v>Không độc hại</v>
          </cell>
          <cell r="T32">
            <v>0</v>
          </cell>
          <cell r="U32" t="str">
            <v>09</v>
          </cell>
          <cell r="V32" t="str">
            <v>Không hưởng ưu đãi nghề</v>
          </cell>
          <cell r="W32">
            <v>0</v>
          </cell>
          <cell r="X32" t="str">
            <v>09</v>
          </cell>
          <cell r="Y32" t="str">
            <v>Không trách nhiệm</v>
          </cell>
          <cell r="Z32">
            <v>0</v>
          </cell>
          <cell r="AA32" t="str">
            <v>09</v>
          </cell>
          <cell r="AB32" t="str">
            <v>Không phụ kiện hợp đồng</v>
          </cell>
          <cell r="AC32">
            <v>0</v>
          </cell>
          <cell r="AD32" t="str">
            <v>09</v>
          </cell>
          <cell r="AE32" t="str">
            <v>Không kiêm nhiệm</v>
          </cell>
          <cell r="AF32">
            <v>0</v>
          </cell>
          <cell r="AG32" t="str">
            <v>09</v>
          </cell>
          <cell r="AH32" t="str">
            <v>Không kiêm nhiệm</v>
          </cell>
          <cell r="AI32">
            <v>0</v>
          </cell>
          <cell r="AJ32" t="str">
            <v>01</v>
          </cell>
          <cell r="AK32" t="str">
            <v>Phụ cấp 116 50%</v>
          </cell>
          <cell r="AL32">
            <v>0</v>
          </cell>
          <cell r="AN32" t="str">
            <v>TL: 01/09/2017</v>
          </cell>
        </row>
        <row r="33">
          <cell r="A33" t="str">
            <v>31</v>
          </cell>
          <cell r="B33" t="str">
            <v>Bùi Thị Oanh</v>
          </cell>
          <cell r="C33" t="str">
            <v>02</v>
          </cell>
          <cell r="D33" t="str">
            <v>Bậc 02</v>
          </cell>
          <cell r="E33">
            <v>2.41</v>
          </cell>
          <cell r="F33" t="str">
            <v>05</v>
          </cell>
          <cell r="G33" t="str">
            <v>NV</v>
          </cell>
          <cell r="H33">
            <v>0</v>
          </cell>
          <cell r="I33" t="str">
            <v>50</v>
          </cell>
          <cell r="J33" t="str">
            <v>Không vượt khung</v>
          </cell>
          <cell r="K33">
            <v>0</v>
          </cell>
          <cell r="L33" t="str">
            <v>01</v>
          </cell>
          <cell r="M33" t="str">
            <v>Hưởng khu vực</v>
          </cell>
          <cell r="N33">
            <v>0.2</v>
          </cell>
          <cell r="O33" t="str">
            <v>50</v>
          </cell>
          <cell r="P33" t="str">
            <v>Không thâm niên nghề</v>
          </cell>
          <cell r="Q33">
            <v>0</v>
          </cell>
          <cell r="R33" t="str">
            <v>09</v>
          </cell>
          <cell r="S33" t="str">
            <v>Không độc hại</v>
          </cell>
          <cell r="T33">
            <v>0</v>
          </cell>
          <cell r="U33" t="str">
            <v>09</v>
          </cell>
          <cell r="V33" t="str">
            <v>Không hưởng ưu đãi nghề</v>
          </cell>
          <cell r="W33">
            <v>0</v>
          </cell>
          <cell r="X33" t="str">
            <v>01</v>
          </cell>
          <cell r="Y33" t="str">
            <v>Trách nhiệm</v>
          </cell>
          <cell r="Z33">
            <v>0.1</v>
          </cell>
          <cell r="AA33" t="str">
            <v>09</v>
          </cell>
          <cell r="AB33" t="str">
            <v>Không phụ kiện hợp đồng</v>
          </cell>
          <cell r="AC33">
            <v>0</v>
          </cell>
          <cell r="AD33" t="str">
            <v>09</v>
          </cell>
          <cell r="AE33" t="str">
            <v>Không kiêm nhiệm</v>
          </cell>
          <cell r="AF33">
            <v>0</v>
          </cell>
          <cell r="AG33" t="str">
            <v>01</v>
          </cell>
          <cell r="AH33" t="str">
            <v>Phu cấp 116 70%</v>
          </cell>
          <cell r="AI33">
            <v>0</v>
          </cell>
          <cell r="AJ33" t="str">
            <v>09</v>
          </cell>
          <cell r="AK33" t="str">
            <v>Khác</v>
          </cell>
          <cell r="AL33">
            <v>0</v>
          </cell>
        </row>
        <row r="34">
          <cell r="A34" t="str">
            <v>32</v>
          </cell>
          <cell r="B34" t="str">
            <v>Trần Thị Bạch Minh</v>
          </cell>
          <cell r="C34" t="str">
            <v>03</v>
          </cell>
          <cell r="D34" t="str">
            <v>Bậc 03</v>
          </cell>
          <cell r="E34">
            <v>3</v>
          </cell>
          <cell r="F34" t="str">
            <v>05</v>
          </cell>
          <cell r="G34" t="str">
            <v>NV</v>
          </cell>
          <cell r="H34">
            <v>0</v>
          </cell>
          <cell r="I34" t="str">
            <v>50</v>
          </cell>
          <cell r="J34" t="str">
            <v>Không vượt khung</v>
          </cell>
          <cell r="K34">
            <v>0</v>
          </cell>
          <cell r="L34" t="str">
            <v>01</v>
          </cell>
          <cell r="M34" t="str">
            <v>Hưởng khu vực</v>
          </cell>
          <cell r="N34">
            <v>0.2</v>
          </cell>
          <cell r="O34" t="str">
            <v>50</v>
          </cell>
          <cell r="P34" t="str">
            <v>Không thâm niên nghề</v>
          </cell>
          <cell r="Q34">
            <v>0</v>
          </cell>
          <cell r="R34" t="str">
            <v>09</v>
          </cell>
          <cell r="S34" t="str">
            <v>Không độc hại</v>
          </cell>
          <cell r="T34">
            <v>0</v>
          </cell>
          <cell r="U34" t="str">
            <v>09</v>
          </cell>
          <cell r="V34" t="str">
            <v>Không hưởng ưu đãi nghề</v>
          </cell>
          <cell r="W34">
            <v>0</v>
          </cell>
          <cell r="X34" t="str">
            <v>09</v>
          </cell>
          <cell r="Y34" t="str">
            <v>Không trách nhiệm</v>
          </cell>
          <cell r="Z34">
            <v>0</v>
          </cell>
          <cell r="AA34" t="str">
            <v>09</v>
          </cell>
          <cell r="AB34" t="str">
            <v>Không phụ kiện hợp đồng</v>
          </cell>
          <cell r="AC34">
            <v>0</v>
          </cell>
          <cell r="AD34" t="str">
            <v>09</v>
          </cell>
          <cell r="AE34" t="str">
            <v>Không kiêm nhiệm</v>
          </cell>
          <cell r="AF34">
            <v>0</v>
          </cell>
          <cell r="AG34" t="str">
            <v>01</v>
          </cell>
          <cell r="AH34" t="str">
            <v>Phu cấp 116 70%</v>
          </cell>
          <cell r="AI34">
            <v>0</v>
          </cell>
          <cell r="AJ34" t="str">
            <v>01</v>
          </cell>
          <cell r="AK34" t="str">
            <v>Phụ cấp 116 50%</v>
          </cell>
          <cell r="AL34">
            <v>0</v>
          </cell>
          <cell r="AN34" t="str">
            <v>TL: 01/01/2016</v>
          </cell>
        </row>
        <row r="35">
          <cell r="A35" t="str">
            <v>33</v>
          </cell>
          <cell r="B35" t="str">
            <v>Trần Nam San</v>
          </cell>
          <cell r="C35" t="str">
            <v>03</v>
          </cell>
          <cell r="D35" t="str">
            <v>Bậc 03</v>
          </cell>
          <cell r="E35">
            <v>3</v>
          </cell>
          <cell r="F35" t="str">
            <v>05</v>
          </cell>
          <cell r="G35" t="str">
            <v>NV</v>
          </cell>
          <cell r="H35">
            <v>0</v>
          </cell>
          <cell r="I35" t="str">
            <v>50</v>
          </cell>
          <cell r="J35" t="str">
            <v>Không vượt khung</v>
          </cell>
          <cell r="K35">
            <v>0</v>
          </cell>
          <cell r="L35" t="str">
            <v>01</v>
          </cell>
          <cell r="M35" t="str">
            <v>Hưởng khu vực</v>
          </cell>
          <cell r="N35">
            <v>0.2</v>
          </cell>
          <cell r="O35" t="str">
            <v>50</v>
          </cell>
          <cell r="P35" t="str">
            <v>Không thâm niên nghề</v>
          </cell>
          <cell r="Q35">
            <v>0</v>
          </cell>
          <cell r="R35" t="str">
            <v>09</v>
          </cell>
          <cell r="S35" t="str">
            <v>Không độc hại</v>
          </cell>
          <cell r="T35">
            <v>0</v>
          </cell>
          <cell r="U35" t="str">
            <v>09</v>
          </cell>
          <cell r="V35" t="str">
            <v>Không hưởng ưu đãi nghề</v>
          </cell>
          <cell r="W35">
            <v>0</v>
          </cell>
          <cell r="X35" t="str">
            <v>09</v>
          </cell>
          <cell r="Y35" t="str">
            <v>Không trách nhiệm</v>
          </cell>
          <cell r="Z35">
            <v>0</v>
          </cell>
          <cell r="AA35" t="str">
            <v>09</v>
          </cell>
          <cell r="AB35" t="str">
            <v>Không phụ kiện hợp đồng</v>
          </cell>
          <cell r="AC35">
            <v>0</v>
          </cell>
          <cell r="AD35" t="str">
            <v>09</v>
          </cell>
          <cell r="AE35" t="str">
            <v>Không kiêm nhiệm</v>
          </cell>
          <cell r="AF35">
            <v>0</v>
          </cell>
          <cell r="AG35" t="str">
            <v>09</v>
          </cell>
          <cell r="AH35" t="str">
            <v>Không kiêm nhiệm</v>
          </cell>
          <cell r="AI35">
            <v>0</v>
          </cell>
          <cell r="AJ35" t="str">
            <v>02</v>
          </cell>
          <cell r="AK35" t="str">
            <v>Phụ cấp 116 70%</v>
          </cell>
          <cell r="AL35">
            <v>0</v>
          </cell>
          <cell r="AN35" t="str">
            <v>PCLN: 1/8/2016</v>
          </cell>
        </row>
        <row r="36">
          <cell r="A36" t="str">
            <v>34</v>
          </cell>
          <cell r="B36" t="str">
            <v>Nguyễn Thị Thu Lan</v>
          </cell>
          <cell r="C36" t="str">
            <v>02</v>
          </cell>
          <cell r="D36" t="str">
            <v>Bậc 02</v>
          </cell>
          <cell r="E36">
            <v>2.67</v>
          </cell>
          <cell r="F36" t="str">
            <v>05</v>
          </cell>
          <cell r="G36" t="str">
            <v>NV</v>
          </cell>
          <cell r="H36">
            <v>0</v>
          </cell>
          <cell r="I36" t="str">
            <v>50</v>
          </cell>
          <cell r="J36" t="str">
            <v>Không vượt khung</v>
          </cell>
          <cell r="K36">
            <v>0</v>
          </cell>
          <cell r="L36" t="str">
            <v>01</v>
          </cell>
          <cell r="M36" t="str">
            <v>Hưởng khu vực</v>
          </cell>
          <cell r="N36">
            <v>0.2</v>
          </cell>
          <cell r="O36" t="str">
            <v>50</v>
          </cell>
          <cell r="P36" t="str">
            <v>Không thâm niên nghề</v>
          </cell>
          <cell r="Q36">
            <v>0</v>
          </cell>
          <cell r="R36" t="str">
            <v>09</v>
          </cell>
          <cell r="S36" t="str">
            <v>Không độc hại</v>
          </cell>
          <cell r="T36">
            <v>0</v>
          </cell>
          <cell r="U36" t="str">
            <v>09</v>
          </cell>
          <cell r="V36" t="str">
            <v>Không hưởng ưu đãi nghề</v>
          </cell>
          <cell r="W36">
            <v>0</v>
          </cell>
          <cell r="X36" t="str">
            <v>09</v>
          </cell>
          <cell r="Y36" t="str">
            <v>Không trách nhiệm</v>
          </cell>
          <cell r="Z36">
            <v>0</v>
          </cell>
          <cell r="AA36" t="str">
            <v>09</v>
          </cell>
          <cell r="AB36" t="str">
            <v>Không phụ kiện hợp đồng</v>
          </cell>
          <cell r="AC36">
            <v>0</v>
          </cell>
          <cell r="AD36" t="str">
            <v>09</v>
          </cell>
          <cell r="AE36" t="str">
            <v>Không kiêm nhiệm</v>
          </cell>
          <cell r="AF36">
            <v>0</v>
          </cell>
          <cell r="AG36" t="str">
            <v>01</v>
          </cell>
          <cell r="AH36" t="str">
            <v>Phu cấp 116 70%</v>
          </cell>
          <cell r="AI36">
            <v>0</v>
          </cell>
          <cell r="AJ36" t="str">
            <v>09</v>
          </cell>
          <cell r="AK36" t="str">
            <v>Khác</v>
          </cell>
          <cell r="AL36">
            <v>0</v>
          </cell>
          <cell r="AN36" t="str">
            <v>TL: 01/01/2013</v>
          </cell>
        </row>
        <row r="37">
          <cell r="A37" t="str">
            <v>35</v>
          </cell>
          <cell r="B37" t="str">
            <v>Phạm Minh Quân</v>
          </cell>
          <cell r="C37" t="str">
            <v>05</v>
          </cell>
          <cell r="D37" t="str">
            <v>Bậc 05</v>
          </cell>
          <cell r="E37">
            <v>2.66</v>
          </cell>
          <cell r="F37" t="str">
            <v>05</v>
          </cell>
          <cell r="G37" t="str">
            <v>NV</v>
          </cell>
          <cell r="H37">
            <v>0</v>
          </cell>
          <cell r="I37" t="str">
            <v>50</v>
          </cell>
          <cell r="J37" t="str">
            <v>Không vượt khung</v>
          </cell>
          <cell r="K37">
            <v>0</v>
          </cell>
          <cell r="L37" t="str">
            <v>01</v>
          </cell>
          <cell r="M37" t="str">
            <v>Hưởng khu vực</v>
          </cell>
          <cell r="N37">
            <v>0.2</v>
          </cell>
          <cell r="O37" t="str">
            <v>50</v>
          </cell>
          <cell r="P37" t="str">
            <v>Không thâm niên nghề</v>
          </cell>
          <cell r="Q37">
            <v>0</v>
          </cell>
          <cell r="R37" t="str">
            <v>09</v>
          </cell>
          <cell r="S37" t="str">
            <v>Không độc hại</v>
          </cell>
          <cell r="T37">
            <v>0</v>
          </cell>
          <cell r="U37" t="str">
            <v>09</v>
          </cell>
          <cell r="V37" t="str">
            <v>Không hưởng ưu đãi nghề</v>
          </cell>
          <cell r="W37">
            <v>0</v>
          </cell>
          <cell r="X37" t="str">
            <v>09</v>
          </cell>
          <cell r="Y37" t="str">
            <v>Không trách nhiệm</v>
          </cell>
          <cell r="Z37">
            <v>0</v>
          </cell>
          <cell r="AA37" t="str">
            <v>09</v>
          </cell>
          <cell r="AB37" t="str">
            <v>Không phụ kiện hợp đồng</v>
          </cell>
          <cell r="AC37">
            <v>0</v>
          </cell>
          <cell r="AD37" t="str">
            <v>09</v>
          </cell>
          <cell r="AE37" t="str">
            <v>Không kiêm nhiệm</v>
          </cell>
          <cell r="AF37">
            <v>0</v>
          </cell>
          <cell r="AG37" t="str">
            <v>09</v>
          </cell>
          <cell r="AH37" t="str">
            <v>Không kiêm nhiệm</v>
          </cell>
          <cell r="AI37">
            <v>0</v>
          </cell>
          <cell r="AJ37" t="str">
            <v>01</v>
          </cell>
          <cell r="AK37" t="str">
            <v>Phụ cấp 116 50%</v>
          </cell>
          <cell r="AL37">
            <v>0</v>
          </cell>
        </row>
        <row r="38">
          <cell r="A38" t="str">
            <v>36</v>
          </cell>
          <cell r="B38" t="str">
            <v>Nguyễn Thanh Xuân</v>
          </cell>
          <cell r="C38" t="str">
            <v>02</v>
          </cell>
          <cell r="D38" t="str">
            <v>Bậc 02</v>
          </cell>
          <cell r="E38">
            <v>2.67</v>
          </cell>
          <cell r="F38" t="str">
            <v>05</v>
          </cell>
          <cell r="G38" t="str">
            <v>NV</v>
          </cell>
          <cell r="H38">
            <v>0</v>
          </cell>
          <cell r="I38" t="str">
            <v>50</v>
          </cell>
          <cell r="J38" t="str">
            <v>Không vượt khung</v>
          </cell>
          <cell r="K38">
            <v>0</v>
          </cell>
          <cell r="L38" t="str">
            <v>01</v>
          </cell>
          <cell r="M38" t="str">
            <v>Hưởng khu vực</v>
          </cell>
          <cell r="N38">
            <v>0.2</v>
          </cell>
          <cell r="O38" t="str">
            <v>50</v>
          </cell>
          <cell r="P38" t="str">
            <v>Không thâm niên nghề</v>
          </cell>
          <cell r="Q38">
            <v>0</v>
          </cell>
          <cell r="R38" t="str">
            <v>09</v>
          </cell>
          <cell r="S38" t="str">
            <v>Không độc hại</v>
          </cell>
          <cell r="T38">
            <v>0</v>
          </cell>
          <cell r="U38" t="str">
            <v>09</v>
          </cell>
          <cell r="V38" t="str">
            <v>Không hưởng ưu đãi nghề</v>
          </cell>
          <cell r="W38">
            <v>0</v>
          </cell>
          <cell r="X38" t="str">
            <v>09</v>
          </cell>
          <cell r="Y38" t="str">
            <v>Không trách nhiệm</v>
          </cell>
          <cell r="Z38">
            <v>0</v>
          </cell>
          <cell r="AA38" t="str">
            <v>09</v>
          </cell>
          <cell r="AB38" t="str">
            <v>Không phụ kiện hợp đồng</v>
          </cell>
          <cell r="AC38">
            <v>0</v>
          </cell>
          <cell r="AD38" t="str">
            <v>09</v>
          </cell>
          <cell r="AE38" t="str">
            <v>Không kiêm nhiệm</v>
          </cell>
          <cell r="AF38">
            <v>0</v>
          </cell>
          <cell r="AG38" t="str">
            <v>01</v>
          </cell>
          <cell r="AH38" t="str">
            <v>Phu cấp 116 70%</v>
          </cell>
          <cell r="AI38">
            <v>0</v>
          </cell>
          <cell r="AJ38" t="str">
            <v>09</v>
          </cell>
          <cell r="AK38" t="str">
            <v>Khác</v>
          </cell>
          <cell r="AL38">
            <v>0</v>
          </cell>
          <cell r="AN38" t="str">
            <v>TL: 01/01/2013</v>
          </cell>
        </row>
        <row r="39">
          <cell r="A39" t="str">
            <v>37</v>
          </cell>
          <cell r="B39" t="str">
            <v>Nguyễn Duy Kỳ</v>
          </cell>
          <cell r="C39" t="str">
            <v>02</v>
          </cell>
          <cell r="D39" t="str">
            <v>Bậc 02</v>
          </cell>
          <cell r="E39">
            <v>2.67</v>
          </cell>
          <cell r="F39" t="str">
            <v>05</v>
          </cell>
          <cell r="G39" t="str">
            <v>NV</v>
          </cell>
          <cell r="H39">
            <v>0</v>
          </cell>
          <cell r="I39" t="str">
            <v>50</v>
          </cell>
          <cell r="J39" t="str">
            <v>Không vượt khung</v>
          </cell>
          <cell r="K39">
            <v>0</v>
          </cell>
          <cell r="L39" t="str">
            <v>01</v>
          </cell>
          <cell r="M39" t="str">
            <v>Hưởng khu vực</v>
          </cell>
          <cell r="N39">
            <v>0.2</v>
          </cell>
          <cell r="O39" t="str">
            <v>50</v>
          </cell>
          <cell r="P39" t="str">
            <v>Không thâm niên nghề</v>
          </cell>
          <cell r="Q39">
            <v>0</v>
          </cell>
          <cell r="R39" t="str">
            <v>09</v>
          </cell>
          <cell r="S39" t="str">
            <v>Không độc hại</v>
          </cell>
          <cell r="T39">
            <v>0</v>
          </cell>
          <cell r="U39" t="str">
            <v>09</v>
          </cell>
          <cell r="V39" t="str">
            <v>Không hưởng ưu đãi nghề</v>
          </cell>
          <cell r="W39">
            <v>0</v>
          </cell>
          <cell r="X39" t="str">
            <v>09</v>
          </cell>
          <cell r="Y39" t="str">
            <v>Không trách nhiệm</v>
          </cell>
          <cell r="Z39">
            <v>0</v>
          </cell>
          <cell r="AA39" t="str">
            <v>09</v>
          </cell>
          <cell r="AB39" t="str">
            <v>Không phụ kiện hợp đồng</v>
          </cell>
          <cell r="AC39">
            <v>0</v>
          </cell>
          <cell r="AD39" t="str">
            <v>09</v>
          </cell>
          <cell r="AE39" t="str">
            <v>Không kiêm nhiệm</v>
          </cell>
          <cell r="AF39">
            <v>0</v>
          </cell>
          <cell r="AG39" t="str">
            <v>01</v>
          </cell>
          <cell r="AH39" t="str">
            <v>Phu cấp 116 70%</v>
          </cell>
          <cell r="AI39">
            <v>0</v>
          </cell>
          <cell r="AJ39" t="str">
            <v>09</v>
          </cell>
          <cell r="AK39" t="str">
            <v>Khác</v>
          </cell>
          <cell r="AL39">
            <v>0</v>
          </cell>
        </row>
        <row r="40">
          <cell r="A40" t="str">
            <v>38</v>
          </cell>
          <cell r="B40" t="str">
            <v>Nguyễn Lộc Vĩnh</v>
          </cell>
          <cell r="C40" t="str">
            <v>02</v>
          </cell>
          <cell r="D40" t="str">
            <v>Bậc 02</v>
          </cell>
          <cell r="E40">
            <v>2.67</v>
          </cell>
          <cell r="F40" t="str">
            <v>05</v>
          </cell>
          <cell r="G40" t="str">
            <v>NV</v>
          </cell>
          <cell r="H40">
            <v>0</v>
          </cell>
          <cell r="I40" t="str">
            <v>50</v>
          </cell>
          <cell r="J40" t="str">
            <v>Không vượt khung</v>
          </cell>
          <cell r="K40">
            <v>0</v>
          </cell>
          <cell r="L40" t="str">
            <v>01</v>
          </cell>
          <cell r="M40" t="str">
            <v>Hưởng khu vực</v>
          </cell>
          <cell r="N40">
            <v>0.2</v>
          </cell>
          <cell r="O40" t="str">
            <v>50</v>
          </cell>
          <cell r="P40" t="str">
            <v>Không thâm niên nghề</v>
          </cell>
          <cell r="Q40">
            <v>0</v>
          </cell>
          <cell r="R40" t="str">
            <v>09</v>
          </cell>
          <cell r="S40" t="str">
            <v>Không độc hại</v>
          </cell>
          <cell r="T40">
            <v>0</v>
          </cell>
          <cell r="U40" t="str">
            <v>09</v>
          </cell>
          <cell r="V40" t="str">
            <v>Không hưởng ưu đãi nghề</v>
          </cell>
          <cell r="W40">
            <v>0</v>
          </cell>
          <cell r="X40" t="str">
            <v>09</v>
          </cell>
          <cell r="Y40" t="str">
            <v>Không trách nhiệm</v>
          </cell>
          <cell r="Z40">
            <v>0</v>
          </cell>
          <cell r="AA40" t="str">
            <v>09</v>
          </cell>
          <cell r="AB40" t="str">
            <v>Không phụ kiện hợp đồng</v>
          </cell>
          <cell r="AC40">
            <v>0</v>
          </cell>
          <cell r="AD40" t="str">
            <v>09</v>
          </cell>
          <cell r="AE40" t="str">
            <v>Không kiêm nhiệm</v>
          </cell>
          <cell r="AF40">
            <v>0</v>
          </cell>
          <cell r="AG40" t="str">
            <v>01</v>
          </cell>
          <cell r="AH40" t="str">
            <v>Phu cấp 116 70%</v>
          </cell>
          <cell r="AI40">
            <v>0</v>
          </cell>
          <cell r="AJ40" t="str">
            <v>09</v>
          </cell>
          <cell r="AK40" t="str">
            <v>Khác</v>
          </cell>
          <cell r="AL40">
            <v>0</v>
          </cell>
        </row>
        <row r="41">
          <cell r="A41" t="str">
            <v>39</v>
          </cell>
          <cell r="B41" t="str">
            <v>Phạm Thanh Thuỷ</v>
          </cell>
          <cell r="C41" t="str">
            <v>03</v>
          </cell>
          <cell r="D41" t="str">
            <v>Bậc 03</v>
          </cell>
          <cell r="E41">
            <v>2.2599999999999998</v>
          </cell>
          <cell r="F41" t="str">
            <v>05</v>
          </cell>
          <cell r="G41" t="str">
            <v>NV</v>
          </cell>
          <cell r="H41">
            <v>0</v>
          </cell>
          <cell r="I41" t="str">
            <v>50</v>
          </cell>
          <cell r="J41" t="str">
            <v>Không vượt khung</v>
          </cell>
          <cell r="K41">
            <v>0</v>
          </cell>
          <cell r="L41" t="str">
            <v>01</v>
          </cell>
          <cell r="M41" t="str">
            <v>Hưởng khu vực</v>
          </cell>
          <cell r="N41">
            <v>0.2</v>
          </cell>
          <cell r="O41" t="str">
            <v>50</v>
          </cell>
          <cell r="P41" t="str">
            <v>Không thâm niên nghề</v>
          </cell>
          <cell r="Q41">
            <v>0</v>
          </cell>
          <cell r="R41" t="str">
            <v>09</v>
          </cell>
          <cell r="S41" t="str">
            <v>Không độc hại</v>
          </cell>
          <cell r="T41">
            <v>0</v>
          </cell>
          <cell r="U41" t="str">
            <v>09</v>
          </cell>
          <cell r="V41" t="str">
            <v>Không hưởng ưu đãi nghề</v>
          </cell>
          <cell r="W41">
            <v>0</v>
          </cell>
          <cell r="X41" t="str">
            <v>09</v>
          </cell>
          <cell r="Y41" t="str">
            <v>Không trách nhiệm</v>
          </cell>
          <cell r="Z41">
            <v>0</v>
          </cell>
          <cell r="AA41" t="str">
            <v>09</v>
          </cell>
          <cell r="AB41" t="str">
            <v>Không phụ kiện hợp đồng</v>
          </cell>
          <cell r="AC41">
            <v>0</v>
          </cell>
          <cell r="AD41" t="str">
            <v>09</v>
          </cell>
          <cell r="AE41" t="str">
            <v>Không kiêm nhiệm</v>
          </cell>
          <cell r="AF41">
            <v>0</v>
          </cell>
          <cell r="AG41" t="str">
            <v>09</v>
          </cell>
          <cell r="AH41" t="str">
            <v>Không kiêm nhiệm</v>
          </cell>
          <cell r="AI41">
            <v>0</v>
          </cell>
          <cell r="AJ41" t="str">
            <v>01</v>
          </cell>
          <cell r="AK41" t="str">
            <v>Phụ cấp 116 50%</v>
          </cell>
          <cell r="AL41">
            <v>0</v>
          </cell>
          <cell r="AN41" t="str">
            <v>TL: 01/05/2017</v>
          </cell>
        </row>
        <row r="42">
          <cell r="A42" t="str">
            <v>40</v>
          </cell>
          <cell r="B42" t="str">
            <v>Trương Văn Thạch</v>
          </cell>
          <cell r="C42" t="str">
            <v>02</v>
          </cell>
          <cell r="D42" t="str">
            <v>Bậc 02</v>
          </cell>
          <cell r="E42">
            <v>2.67</v>
          </cell>
          <cell r="F42" t="str">
            <v>05</v>
          </cell>
          <cell r="G42" t="str">
            <v>NV</v>
          </cell>
          <cell r="H42">
            <v>0</v>
          </cell>
          <cell r="I42" t="str">
            <v>50</v>
          </cell>
          <cell r="J42" t="str">
            <v>Không vượt khung</v>
          </cell>
          <cell r="K42">
            <v>0</v>
          </cell>
          <cell r="L42" t="str">
            <v>01</v>
          </cell>
          <cell r="M42" t="str">
            <v>Hưởng khu vực</v>
          </cell>
          <cell r="N42">
            <v>0.2</v>
          </cell>
          <cell r="O42" t="str">
            <v>50</v>
          </cell>
          <cell r="P42" t="str">
            <v>Không thâm niên nghề</v>
          </cell>
          <cell r="Q42">
            <v>0</v>
          </cell>
          <cell r="R42" t="str">
            <v>09</v>
          </cell>
          <cell r="S42" t="str">
            <v>Không độc hại</v>
          </cell>
          <cell r="T42">
            <v>0</v>
          </cell>
          <cell r="U42" t="str">
            <v>09</v>
          </cell>
          <cell r="V42" t="str">
            <v>Không hưởng ưu đãi nghề</v>
          </cell>
          <cell r="W42">
            <v>0</v>
          </cell>
          <cell r="X42" t="str">
            <v>09</v>
          </cell>
          <cell r="Y42" t="str">
            <v>Không trách nhiệm</v>
          </cell>
          <cell r="Z42">
            <v>0</v>
          </cell>
          <cell r="AA42" t="str">
            <v>09</v>
          </cell>
          <cell r="AB42" t="str">
            <v>Không phụ kiện hợp đồng</v>
          </cell>
          <cell r="AC42">
            <v>0</v>
          </cell>
          <cell r="AD42" t="str">
            <v>09</v>
          </cell>
          <cell r="AE42" t="str">
            <v>Không kiêm nhiệm</v>
          </cell>
          <cell r="AF42">
            <v>0</v>
          </cell>
          <cell r="AG42" t="str">
            <v>01</v>
          </cell>
          <cell r="AH42" t="str">
            <v>Phu cấp 116 70%</v>
          </cell>
          <cell r="AI42">
            <v>0</v>
          </cell>
          <cell r="AJ42" t="str">
            <v>09</v>
          </cell>
          <cell r="AK42" t="str">
            <v>Khác</v>
          </cell>
          <cell r="AL42">
            <v>0</v>
          </cell>
          <cell r="AN42" t="str">
            <v>HH: 30/06/2014</v>
          </cell>
        </row>
        <row r="43">
          <cell r="A43" t="str">
            <v>41</v>
          </cell>
          <cell r="B43" t="str">
            <v>Nguyễn Thị Cẩm Nhung</v>
          </cell>
          <cell r="C43" t="str">
            <v>02</v>
          </cell>
          <cell r="D43" t="str">
            <v>Bậc 02</v>
          </cell>
          <cell r="E43">
            <v>2.67</v>
          </cell>
          <cell r="F43" t="str">
            <v>05</v>
          </cell>
          <cell r="G43" t="str">
            <v>NV</v>
          </cell>
          <cell r="H43">
            <v>0</v>
          </cell>
          <cell r="I43" t="str">
            <v>50</v>
          </cell>
          <cell r="J43" t="str">
            <v>Không vượt khung</v>
          </cell>
          <cell r="K43">
            <v>0</v>
          </cell>
          <cell r="L43" t="str">
            <v>01</v>
          </cell>
          <cell r="M43" t="str">
            <v>Hưởng khu vực</v>
          </cell>
          <cell r="N43">
            <v>0.2</v>
          </cell>
          <cell r="O43" t="str">
            <v>50</v>
          </cell>
          <cell r="P43" t="str">
            <v>Không thâm niên nghề</v>
          </cell>
          <cell r="Q43">
            <v>0</v>
          </cell>
          <cell r="R43" t="str">
            <v>09</v>
          </cell>
          <cell r="S43" t="str">
            <v>Không độc hại</v>
          </cell>
          <cell r="T43">
            <v>0</v>
          </cell>
          <cell r="U43" t="str">
            <v>09</v>
          </cell>
          <cell r="V43" t="str">
            <v>Không hưởng ưu đãi nghề</v>
          </cell>
          <cell r="W43">
            <v>0</v>
          </cell>
          <cell r="X43" t="str">
            <v>09</v>
          </cell>
          <cell r="Y43" t="str">
            <v>Không trách nhiệm</v>
          </cell>
          <cell r="Z43">
            <v>0</v>
          </cell>
          <cell r="AA43" t="str">
            <v>09</v>
          </cell>
          <cell r="AB43" t="str">
            <v>Không phụ kiện hợp đồng</v>
          </cell>
          <cell r="AC43">
            <v>0</v>
          </cell>
          <cell r="AD43" t="str">
            <v>09</v>
          </cell>
          <cell r="AE43" t="str">
            <v>Không kiêm nhiệm</v>
          </cell>
          <cell r="AF43">
            <v>0</v>
          </cell>
          <cell r="AG43" t="str">
            <v>01</v>
          </cell>
          <cell r="AH43" t="str">
            <v>Phu cấp 116 70%</v>
          </cell>
          <cell r="AI43">
            <v>0</v>
          </cell>
          <cell r="AJ43" t="str">
            <v>09</v>
          </cell>
          <cell r="AK43" t="str">
            <v>Khác</v>
          </cell>
          <cell r="AL43">
            <v>0</v>
          </cell>
          <cell r="AN43" t="str">
            <v>HH: 31/03/2014</v>
          </cell>
        </row>
        <row r="44">
          <cell r="A44" t="str">
            <v>42</v>
          </cell>
          <cell r="B44" t="str">
            <v>Võ Văn Đô</v>
          </cell>
          <cell r="C44" t="str">
            <v>08</v>
          </cell>
          <cell r="D44" t="str">
            <v>Bậc 08</v>
          </cell>
          <cell r="E44">
            <v>3.31</v>
          </cell>
          <cell r="F44" t="str">
            <v>05</v>
          </cell>
          <cell r="G44" t="str">
            <v>NV</v>
          </cell>
          <cell r="H44">
            <v>0</v>
          </cell>
          <cell r="I44" t="str">
            <v>50</v>
          </cell>
          <cell r="J44" t="str">
            <v>Không vượt khung</v>
          </cell>
          <cell r="K44">
            <v>0</v>
          </cell>
          <cell r="L44" t="str">
            <v>01</v>
          </cell>
          <cell r="M44" t="str">
            <v>Hưởng khu vực</v>
          </cell>
          <cell r="N44">
            <v>0.2</v>
          </cell>
          <cell r="O44" t="str">
            <v>50</v>
          </cell>
          <cell r="P44" t="str">
            <v>Không thâm niên nghề</v>
          </cell>
          <cell r="Q44">
            <v>0</v>
          </cell>
          <cell r="R44" t="str">
            <v>09</v>
          </cell>
          <cell r="S44" t="str">
            <v>Không độc hại</v>
          </cell>
          <cell r="T44">
            <v>0</v>
          </cell>
          <cell r="U44" t="str">
            <v>09</v>
          </cell>
          <cell r="V44" t="str">
            <v>Không hưởng ưu đãi nghề</v>
          </cell>
          <cell r="W44">
            <v>0</v>
          </cell>
          <cell r="X44" t="str">
            <v>09</v>
          </cell>
          <cell r="Y44" t="str">
            <v>Không trách nhiệm</v>
          </cell>
          <cell r="Z44">
            <v>0</v>
          </cell>
          <cell r="AA44" t="str">
            <v>09</v>
          </cell>
          <cell r="AB44" t="str">
            <v>Không phụ kiện hợp đồng</v>
          </cell>
          <cell r="AC44">
            <v>0</v>
          </cell>
          <cell r="AD44" t="str">
            <v>09</v>
          </cell>
          <cell r="AE44" t="str">
            <v>Không kiêm nhiệm</v>
          </cell>
          <cell r="AF44">
            <v>0</v>
          </cell>
          <cell r="AG44" t="str">
            <v>09</v>
          </cell>
          <cell r="AH44" t="str">
            <v>Không kiêm nhiệm</v>
          </cell>
          <cell r="AI44">
            <v>0</v>
          </cell>
          <cell r="AJ44" t="str">
            <v>02</v>
          </cell>
          <cell r="AK44" t="str">
            <v>Phụ cấp 116 70%</v>
          </cell>
          <cell r="AL44">
            <v>0</v>
          </cell>
          <cell r="AN44" t="str">
            <v>TL: 01/01/2017</v>
          </cell>
        </row>
        <row r="45">
          <cell r="A45" t="str">
            <v>43</v>
          </cell>
          <cell r="B45" t="str">
            <v>Trần Chí Linh</v>
          </cell>
          <cell r="C45" t="str">
            <v>08</v>
          </cell>
          <cell r="D45" t="str">
            <v>Bậc 08</v>
          </cell>
          <cell r="E45">
            <v>3.31</v>
          </cell>
          <cell r="F45" t="str">
            <v>05</v>
          </cell>
          <cell r="G45" t="str">
            <v>NV</v>
          </cell>
          <cell r="H45">
            <v>0</v>
          </cell>
          <cell r="I45" t="str">
            <v>50</v>
          </cell>
          <cell r="J45" t="str">
            <v>Không vượt khung</v>
          </cell>
          <cell r="K45">
            <v>0</v>
          </cell>
          <cell r="L45" t="str">
            <v>01</v>
          </cell>
          <cell r="M45" t="str">
            <v>Hưởng khu vực</v>
          </cell>
          <cell r="N45">
            <v>0.2</v>
          </cell>
          <cell r="O45" t="str">
            <v>50</v>
          </cell>
          <cell r="P45" t="str">
            <v>Không thâm niên nghề</v>
          </cell>
          <cell r="Q45">
            <v>0</v>
          </cell>
          <cell r="R45" t="str">
            <v>09</v>
          </cell>
          <cell r="S45" t="str">
            <v>Không độc hại</v>
          </cell>
          <cell r="T45">
            <v>0</v>
          </cell>
          <cell r="U45" t="str">
            <v>09</v>
          </cell>
          <cell r="V45" t="str">
            <v>Không hưởng ưu đãi nghề</v>
          </cell>
          <cell r="W45">
            <v>0</v>
          </cell>
          <cell r="X45" t="str">
            <v>09</v>
          </cell>
          <cell r="Y45" t="str">
            <v>Không trách nhiệm</v>
          </cell>
          <cell r="Z45">
            <v>0</v>
          </cell>
          <cell r="AA45" t="str">
            <v>09</v>
          </cell>
          <cell r="AB45" t="str">
            <v>Không phụ kiện hợp đồng</v>
          </cell>
          <cell r="AC45">
            <v>0</v>
          </cell>
          <cell r="AD45" t="str">
            <v>09</v>
          </cell>
          <cell r="AE45" t="str">
            <v>Không kiêm nhiệm</v>
          </cell>
          <cell r="AF45">
            <v>0</v>
          </cell>
          <cell r="AG45" t="str">
            <v>09</v>
          </cell>
          <cell r="AH45" t="str">
            <v>Không kiêm nhiệm</v>
          </cell>
          <cell r="AI45">
            <v>0</v>
          </cell>
          <cell r="AJ45" t="str">
            <v>02</v>
          </cell>
          <cell r="AK45" t="str">
            <v>Phụ cấp 116 70%</v>
          </cell>
          <cell r="AL45">
            <v>0</v>
          </cell>
          <cell r="AN45" t="str">
            <v>TL 01/12/2013</v>
          </cell>
        </row>
        <row r="46">
          <cell r="A46" t="str">
            <v>44</v>
          </cell>
          <cell r="B46" t="str">
            <v>Nguyễn Văn Giàu</v>
          </cell>
          <cell r="C46" t="str">
            <v>06</v>
          </cell>
          <cell r="D46" t="str">
            <v>Bậc 06</v>
          </cell>
          <cell r="E46">
            <v>2.4</v>
          </cell>
          <cell r="F46" t="str">
            <v>05</v>
          </cell>
          <cell r="G46" t="str">
            <v>NV</v>
          </cell>
          <cell r="H46">
            <v>0</v>
          </cell>
          <cell r="I46" t="str">
            <v>50</v>
          </cell>
          <cell r="J46" t="str">
            <v>Không vượt khung</v>
          </cell>
          <cell r="K46">
            <v>0</v>
          </cell>
          <cell r="L46" t="str">
            <v>01</v>
          </cell>
          <cell r="M46" t="str">
            <v>Hưởng khu vực</v>
          </cell>
          <cell r="N46">
            <v>0.2</v>
          </cell>
          <cell r="O46" t="str">
            <v>50</v>
          </cell>
          <cell r="P46" t="str">
            <v>Không thâm niên nghề</v>
          </cell>
          <cell r="Q46">
            <v>0</v>
          </cell>
          <cell r="R46" t="str">
            <v>09</v>
          </cell>
          <cell r="S46" t="str">
            <v>Không độc hại</v>
          </cell>
          <cell r="T46">
            <v>0</v>
          </cell>
          <cell r="U46" t="str">
            <v>09</v>
          </cell>
          <cell r="V46" t="str">
            <v>Không hưởng ưu đãi nghề</v>
          </cell>
          <cell r="W46">
            <v>0</v>
          </cell>
          <cell r="X46" t="str">
            <v>09</v>
          </cell>
          <cell r="Y46" t="str">
            <v>Không trách nhiệm</v>
          </cell>
          <cell r="Z46">
            <v>0</v>
          </cell>
          <cell r="AA46" t="str">
            <v>09</v>
          </cell>
          <cell r="AB46" t="str">
            <v>Không phụ kiện hợp đồng</v>
          </cell>
          <cell r="AC46">
            <v>0</v>
          </cell>
          <cell r="AD46" t="str">
            <v>09</v>
          </cell>
          <cell r="AE46" t="str">
            <v>Không kiêm nhiệm</v>
          </cell>
          <cell r="AF46">
            <v>0</v>
          </cell>
          <cell r="AG46" t="str">
            <v>09</v>
          </cell>
          <cell r="AH46" t="str">
            <v>Không kiêm nhiệm</v>
          </cell>
          <cell r="AI46">
            <v>0</v>
          </cell>
          <cell r="AJ46" t="str">
            <v>01</v>
          </cell>
          <cell r="AK46" t="str">
            <v>Phụ cấp 116 50%</v>
          </cell>
          <cell r="AL46">
            <v>0</v>
          </cell>
          <cell r="AN46" t="str">
            <v>TL: 01/01/2017</v>
          </cell>
        </row>
        <row r="47">
          <cell r="A47" t="str">
            <v>45</v>
          </cell>
          <cell r="B47" t="str">
            <v>Nguyễn Ngọc Thuý</v>
          </cell>
          <cell r="C47" t="str">
            <v>06</v>
          </cell>
          <cell r="D47" t="str">
            <v>Bậc 06</v>
          </cell>
          <cell r="E47">
            <v>1.9</v>
          </cell>
          <cell r="F47" t="str">
            <v>05</v>
          </cell>
          <cell r="G47" t="str">
            <v>NV</v>
          </cell>
          <cell r="H47">
            <v>0</v>
          </cell>
          <cell r="I47" t="str">
            <v>50</v>
          </cell>
          <cell r="J47" t="str">
            <v>Không vượt khung</v>
          </cell>
          <cell r="K47">
            <v>0</v>
          </cell>
          <cell r="L47" t="str">
            <v>01</v>
          </cell>
          <cell r="M47" t="str">
            <v>Hưởng khu vực</v>
          </cell>
          <cell r="N47">
            <v>0.2</v>
          </cell>
          <cell r="O47" t="str">
            <v>50</v>
          </cell>
          <cell r="P47" t="str">
            <v>Không thâm niên nghề</v>
          </cell>
          <cell r="Q47">
            <v>0</v>
          </cell>
          <cell r="R47" t="str">
            <v>09</v>
          </cell>
          <cell r="S47" t="str">
            <v>Không độc hại</v>
          </cell>
          <cell r="T47">
            <v>0</v>
          </cell>
          <cell r="U47" t="str">
            <v>09</v>
          </cell>
          <cell r="V47" t="str">
            <v>Không hưởng ưu đãi nghề</v>
          </cell>
          <cell r="W47">
            <v>0</v>
          </cell>
          <cell r="X47" t="str">
            <v>09</v>
          </cell>
          <cell r="Y47" t="str">
            <v>Không trách nhiệm</v>
          </cell>
          <cell r="Z47">
            <v>0</v>
          </cell>
          <cell r="AA47" t="str">
            <v>09</v>
          </cell>
          <cell r="AB47" t="str">
            <v>Không phụ kiện hợp đồng</v>
          </cell>
          <cell r="AC47">
            <v>0</v>
          </cell>
          <cell r="AD47" t="str">
            <v>09</v>
          </cell>
          <cell r="AE47" t="str">
            <v>Không kiêm nhiệm</v>
          </cell>
          <cell r="AF47">
            <v>0</v>
          </cell>
          <cell r="AG47" t="str">
            <v>09</v>
          </cell>
          <cell r="AH47" t="str">
            <v>Không kiêm nhiệm</v>
          </cell>
          <cell r="AI47">
            <v>0</v>
          </cell>
          <cell r="AJ47" t="str">
            <v>01</v>
          </cell>
          <cell r="AK47" t="str">
            <v>Phụ cấp 116 50%</v>
          </cell>
          <cell r="AL47">
            <v>0</v>
          </cell>
          <cell r="AP47">
            <v>474</v>
          </cell>
        </row>
        <row r="48">
          <cell r="A48" t="str">
            <v>46</v>
          </cell>
          <cell r="B48" t="str">
            <v>Trần Thị Nhung</v>
          </cell>
          <cell r="C48" t="str">
            <v>06</v>
          </cell>
          <cell r="D48" t="str">
            <v>Bậc 06</v>
          </cell>
          <cell r="E48">
            <v>1.9</v>
          </cell>
          <cell r="F48" t="str">
            <v>05</v>
          </cell>
          <cell r="G48" t="str">
            <v>NV</v>
          </cell>
          <cell r="H48">
            <v>0</v>
          </cell>
          <cell r="I48" t="str">
            <v>50</v>
          </cell>
          <cell r="J48" t="str">
            <v>Không vượt khung</v>
          </cell>
          <cell r="K48">
            <v>0</v>
          </cell>
          <cell r="L48" t="str">
            <v>01</v>
          </cell>
          <cell r="M48" t="str">
            <v>Hưởng khu vực</v>
          </cell>
          <cell r="N48">
            <v>0.2</v>
          </cell>
          <cell r="O48" t="str">
            <v>50</v>
          </cell>
          <cell r="P48" t="str">
            <v>Không thâm niên nghề</v>
          </cell>
          <cell r="Q48">
            <v>0</v>
          </cell>
          <cell r="R48" t="str">
            <v>02</v>
          </cell>
          <cell r="S48" t="str">
            <v>Hưởng độc hại</v>
          </cell>
          <cell r="T48">
            <v>0.1</v>
          </cell>
          <cell r="U48" t="str">
            <v>09</v>
          </cell>
          <cell r="V48" t="str">
            <v>Không hưởng ưu đãi nghề</v>
          </cell>
          <cell r="W48">
            <v>0</v>
          </cell>
          <cell r="X48" t="str">
            <v>09</v>
          </cell>
          <cell r="Y48" t="str">
            <v>Không trách nhiệm</v>
          </cell>
          <cell r="Z48">
            <v>0</v>
          </cell>
          <cell r="AA48" t="str">
            <v>09</v>
          </cell>
          <cell r="AB48" t="str">
            <v>Không phụ kiện hợp đồng</v>
          </cell>
          <cell r="AC48">
            <v>0</v>
          </cell>
          <cell r="AD48" t="str">
            <v>09</v>
          </cell>
          <cell r="AE48" t="str">
            <v>Không kiêm nhiệm</v>
          </cell>
          <cell r="AF48">
            <v>0</v>
          </cell>
          <cell r="AG48" t="str">
            <v>01</v>
          </cell>
          <cell r="AH48" t="str">
            <v>Phu cấp 116 70%</v>
          </cell>
          <cell r="AI48">
            <v>0</v>
          </cell>
          <cell r="AJ48" t="str">
            <v>01</v>
          </cell>
          <cell r="AK48" t="str">
            <v>Phụ cấp 116 50%</v>
          </cell>
          <cell r="AL48">
            <v>0</v>
          </cell>
        </row>
        <row r="49">
          <cell r="A49" t="str">
            <v>47</v>
          </cell>
          <cell r="B49" t="str">
            <v>Nguyễn Hoàng Nhu</v>
          </cell>
          <cell r="C49" t="str">
            <v>04</v>
          </cell>
          <cell r="D49" t="str">
            <v>Bậc 04</v>
          </cell>
          <cell r="E49">
            <v>2.04</v>
          </cell>
          <cell r="F49" t="str">
            <v>05</v>
          </cell>
          <cell r="G49" t="str">
            <v>NV</v>
          </cell>
          <cell r="H49">
            <v>0</v>
          </cell>
          <cell r="I49" t="str">
            <v>50</v>
          </cell>
          <cell r="J49" t="str">
            <v>Không vượt khung</v>
          </cell>
          <cell r="K49">
            <v>0</v>
          </cell>
          <cell r="L49" t="str">
            <v>01</v>
          </cell>
          <cell r="M49" t="str">
            <v>Hưởng khu vực</v>
          </cell>
          <cell r="N49">
            <v>0.2</v>
          </cell>
          <cell r="O49" t="str">
            <v>50</v>
          </cell>
          <cell r="P49" t="str">
            <v>Không thâm niên nghề</v>
          </cell>
          <cell r="Q49">
            <v>0</v>
          </cell>
          <cell r="R49" t="str">
            <v>09</v>
          </cell>
          <cell r="S49" t="str">
            <v>Không độc hại</v>
          </cell>
          <cell r="T49">
            <v>0</v>
          </cell>
          <cell r="U49" t="str">
            <v>09</v>
          </cell>
          <cell r="V49" t="str">
            <v>Không hưởng ưu đãi nghề</v>
          </cell>
          <cell r="W49">
            <v>0</v>
          </cell>
          <cell r="X49" t="str">
            <v>09</v>
          </cell>
          <cell r="Y49" t="str">
            <v>Không trách nhiệm</v>
          </cell>
          <cell r="Z49">
            <v>0</v>
          </cell>
          <cell r="AA49" t="str">
            <v>09</v>
          </cell>
          <cell r="AB49" t="str">
            <v>Không phụ kiện hợp đồng</v>
          </cell>
          <cell r="AC49">
            <v>0</v>
          </cell>
          <cell r="AD49" t="str">
            <v>09</v>
          </cell>
          <cell r="AE49" t="str">
            <v>Không kiêm nhiệm</v>
          </cell>
          <cell r="AF49">
            <v>0</v>
          </cell>
          <cell r="AG49" t="str">
            <v>09</v>
          </cell>
          <cell r="AH49" t="str">
            <v>Không kiêm nhiệm</v>
          </cell>
          <cell r="AI49">
            <v>0</v>
          </cell>
          <cell r="AJ49" t="str">
            <v>01</v>
          </cell>
          <cell r="AK49" t="str">
            <v>Phụ cấp 116 50%</v>
          </cell>
          <cell r="AL49">
            <v>0</v>
          </cell>
        </row>
        <row r="50">
          <cell r="A50" t="str">
            <v>48</v>
          </cell>
          <cell r="B50" t="str">
            <v>Lâm Văn Tâm</v>
          </cell>
          <cell r="C50" t="str">
            <v>04</v>
          </cell>
          <cell r="D50" t="str">
            <v>Bậc 04</v>
          </cell>
          <cell r="E50">
            <v>2.04</v>
          </cell>
          <cell r="F50" t="str">
            <v>05</v>
          </cell>
          <cell r="G50" t="str">
            <v>NV</v>
          </cell>
          <cell r="H50">
            <v>0</v>
          </cell>
          <cell r="I50" t="str">
            <v>50</v>
          </cell>
          <cell r="J50" t="str">
            <v>Không vượt khung</v>
          </cell>
          <cell r="K50">
            <v>0</v>
          </cell>
          <cell r="L50" t="str">
            <v>01</v>
          </cell>
          <cell r="M50" t="str">
            <v>Hưởng khu vực</v>
          </cell>
          <cell r="N50">
            <v>0.2</v>
          </cell>
          <cell r="O50" t="str">
            <v>50</v>
          </cell>
          <cell r="P50" t="str">
            <v>Không thâm niên nghề</v>
          </cell>
          <cell r="Q50">
            <v>0</v>
          </cell>
          <cell r="R50" t="str">
            <v>09</v>
          </cell>
          <cell r="S50" t="str">
            <v>Không độc hại</v>
          </cell>
          <cell r="T50">
            <v>0</v>
          </cell>
          <cell r="U50" t="str">
            <v>09</v>
          </cell>
          <cell r="V50" t="str">
            <v>Không hưởng ưu đãi nghề</v>
          </cell>
          <cell r="W50">
            <v>0</v>
          </cell>
          <cell r="X50" t="str">
            <v>09</v>
          </cell>
          <cell r="Y50" t="str">
            <v>Không trách nhiệm</v>
          </cell>
          <cell r="Z50">
            <v>0</v>
          </cell>
          <cell r="AA50" t="str">
            <v>01</v>
          </cell>
          <cell r="AB50" t="str">
            <v>Phụ kiện hợp đồng</v>
          </cell>
          <cell r="AC50">
            <v>300000</v>
          </cell>
          <cell r="AD50" t="str">
            <v>09</v>
          </cell>
          <cell r="AE50" t="str">
            <v>Không kiêm nhiệm</v>
          </cell>
          <cell r="AF50">
            <v>0</v>
          </cell>
          <cell r="AG50" t="str">
            <v>09</v>
          </cell>
          <cell r="AH50" t="str">
            <v>Không kiêm nhiệm</v>
          </cell>
          <cell r="AI50">
            <v>0</v>
          </cell>
          <cell r="AJ50" t="str">
            <v>01</v>
          </cell>
          <cell r="AK50" t="str">
            <v>Phụ cấp 116 50%</v>
          </cell>
          <cell r="AL50">
            <v>0</v>
          </cell>
          <cell r="AN50" t="str">
            <v>PCLN: 01/11/2016</v>
          </cell>
        </row>
        <row r="51">
          <cell r="A51" t="str">
            <v>49</v>
          </cell>
          <cell r="B51" t="str">
            <v>Vương Thế Vinh</v>
          </cell>
          <cell r="C51" t="str">
            <v>03</v>
          </cell>
          <cell r="D51" t="str">
            <v>Bậc 03</v>
          </cell>
          <cell r="E51">
            <v>2.2599999999999998</v>
          </cell>
          <cell r="F51" t="str">
            <v>05</v>
          </cell>
          <cell r="G51" t="str">
            <v>NV</v>
          </cell>
          <cell r="H51">
            <v>0</v>
          </cell>
          <cell r="I51" t="str">
            <v>50</v>
          </cell>
          <cell r="J51" t="str">
            <v>Không vượt khung</v>
          </cell>
          <cell r="K51">
            <v>0</v>
          </cell>
          <cell r="L51" t="str">
            <v>01</v>
          </cell>
          <cell r="M51" t="str">
            <v>Hưởng khu vực</v>
          </cell>
          <cell r="N51">
            <v>0.2</v>
          </cell>
          <cell r="O51" t="str">
            <v>50</v>
          </cell>
          <cell r="P51" t="str">
            <v>Không thâm niên nghề</v>
          </cell>
          <cell r="Q51">
            <v>0</v>
          </cell>
          <cell r="R51" t="str">
            <v>09</v>
          </cell>
          <cell r="S51" t="str">
            <v>Không độc hại</v>
          </cell>
          <cell r="T51">
            <v>0</v>
          </cell>
          <cell r="U51" t="str">
            <v>09</v>
          </cell>
          <cell r="V51" t="str">
            <v>Không hưởng ưu đãi nghề</v>
          </cell>
          <cell r="W51">
            <v>0</v>
          </cell>
          <cell r="X51" t="str">
            <v>09</v>
          </cell>
          <cell r="Y51" t="str">
            <v>Không trách nhiệm</v>
          </cell>
          <cell r="Z51">
            <v>0</v>
          </cell>
          <cell r="AA51" t="str">
            <v>09</v>
          </cell>
          <cell r="AB51" t="str">
            <v>Không phụ kiện hợp đồng</v>
          </cell>
          <cell r="AC51">
            <v>0</v>
          </cell>
          <cell r="AD51" t="str">
            <v>09</v>
          </cell>
          <cell r="AE51" t="str">
            <v>Không kiêm nhiệm</v>
          </cell>
          <cell r="AF51">
            <v>0</v>
          </cell>
          <cell r="AG51" t="str">
            <v>01</v>
          </cell>
          <cell r="AH51" t="str">
            <v>Phu cấp 116 70%</v>
          </cell>
          <cell r="AI51">
            <v>0</v>
          </cell>
          <cell r="AJ51" t="str">
            <v>09</v>
          </cell>
          <cell r="AK51" t="str">
            <v>Khác</v>
          </cell>
          <cell r="AL51">
            <v>0</v>
          </cell>
        </row>
        <row r="52">
          <cell r="A52" t="str">
            <v>50</v>
          </cell>
          <cell r="B52" t="str">
            <v>Trần Văn Phong</v>
          </cell>
          <cell r="C52" t="str">
            <v>04</v>
          </cell>
          <cell r="D52" t="str">
            <v>Bậc 04</v>
          </cell>
          <cell r="E52">
            <v>2.46</v>
          </cell>
          <cell r="F52" t="str">
            <v>05</v>
          </cell>
          <cell r="G52" t="str">
            <v>NV</v>
          </cell>
          <cell r="H52">
            <v>0</v>
          </cell>
          <cell r="I52" t="str">
            <v>50</v>
          </cell>
          <cell r="J52" t="str">
            <v>Không vượt khung</v>
          </cell>
          <cell r="K52">
            <v>0</v>
          </cell>
          <cell r="L52" t="str">
            <v>01</v>
          </cell>
          <cell r="M52" t="str">
            <v>Hưởng khu vực</v>
          </cell>
          <cell r="N52">
            <v>0.2</v>
          </cell>
          <cell r="O52" t="str">
            <v>50</v>
          </cell>
          <cell r="P52" t="str">
            <v>Không thâm niên nghề</v>
          </cell>
          <cell r="Q52">
            <v>0</v>
          </cell>
          <cell r="R52" t="str">
            <v>09</v>
          </cell>
          <cell r="S52" t="str">
            <v>Không độc hại</v>
          </cell>
          <cell r="T52">
            <v>0</v>
          </cell>
          <cell r="U52" t="str">
            <v>09</v>
          </cell>
          <cell r="V52" t="str">
            <v>Không hưởng ưu đãi nghề</v>
          </cell>
          <cell r="W52">
            <v>0</v>
          </cell>
          <cell r="X52" t="str">
            <v>09</v>
          </cell>
          <cell r="Y52" t="str">
            <v>Không trách nhiệm</v>
          </cell>
          <cell r="Z52">
            <v>0</v>
          </cell>
          <cell r="AA52" t="str">
            <v>09</v>
          </cell>
          <cell r="AB52" t="str">
            <v>Không phụ kiện hợp đồng</v>
          </cell>
          <cell r="AC52">
            <v>0</v>
          </cell>
          <cell r="AD52" t="str">
            <v>09</v>
          </cell>
          <cell r="AE52" t="str">
            <v>Không kiêm nhiệm</v>
          </cell>
          <cell r="AF52">
            <v>0</v>
          </cell>
          <cell r="AG52" t="str">
            <v>09</v>
          </cell>
          <cell r="AH52" t="str">
            <v>Không kiêm nhiệm</v>
          </cell>
          <cell r="AI52">
            <v>0</v>
          </cell>
          <cell r="AJ52" t="str">
            <v>01</v>
          </cell>
          <cell r="AK52" t="str">
            <v>Phụ cấp 116 50%</v>
          </cell>
          <cell r="AL52">
            <v>0</v>
          </cell>
        </row>
        <row r="53">
          <cell r="A53" t="str">
            <v>51</v>
          </cell>
          <cell r="B53" t="str">
            <v>Nguyễn Minh Phương</v>
          </cell>
          <cell r="C53" t="str">
            <v>02</v>
          </cell>
          <cell r="D53" t="str">
            <v>Bậc 02</v>
          </cell>
          <cell r="E53">
            <v>1.68</v>
          </cell>
          <cell r="F53" t="str">
            <v>05</v>
          </cell>
          <cell r="G53" t="str">
            <v>NV</v>
          </cell>
          <cell r="H53">
            <v>0</v>
          </cell>
          <cell r="I53" t="str">
            <v>50</v>
          </cell>
          <cell r="J53" t="str">
            <v>Không vượt khung</v>
          </cell>
          <cell r="K53">
            <v>0</v>
          </cell>
          <cell r="L53" t="str">
            <v>01</v>
          </cell>
          <cell r="M53" t="str">
            <v>Hưởng khu vực</v>
          </cell>
          <cell r="N53">
            <v>0.2</v>
          </cell>
          <cell r="O53" t="str">
            <v>50</v>
          </cell>
          <cell r="P53" t="str">
            <v>Không thâm niên nghề</v>
          </cell>
          <cell r="Q53">
            <v>0</v>
          </cell>
          <cell r="R53" t="str">
            <v>09</v>
          </cell>
          <cell r="S53" t="str">
            <v>Không độc hại</v>
          </cell>
          <cell r="T53">
            <v>0</v>
          </cell>
          <cell r="U53" t="str">
            <v>09</v>
          </cell>
          <cell r="V53" t="str">
            <v>Không hưởng ưu đãi nghề</v>
          </cell>
          <cell r="W53">
            <v>0</v>
          </cell>
          <cell r="X53" t="str">
            <v>09</v>
          </cell>
          <cell r="Y53" t="str">
            <v>Không trách nhiệm</v>
          </cell>
          <cell r="Z53">
            <v>0</v>
          </cell>
          <cell r="AA53" t="str">
            <v>01</v>
          </cell>
          <cell r="AB53" t="str">
            <v>Phụ kiện hợp đồng</v>
          </cell>
          <cell r="AC53">
            <v>300000</v>
          </cell>
          <cell r="AD53" t="str">
            <v>09</v>
          </cell>
          <cell r="AE53" t="str">
            <v>Không kiêm nhiệm</v>
          </cell>
          <cell r="AF53">
            <v>0</v>
          </cell>
          <cell r="AG53" t="str">
            <v>01</v>
          </cell>
          <cell r="AH53" t="str">
            <v>Phu cấp 116 70%</v>
          </cell>
          <cell r="AI53">
            <v>0</v>
          </cell>
          <cell r="AJ53" t="str">
            <v>09</v>
          </cell>
          <cell r="AK53" t="str">
            <v>Khác</v>
          </cell>
          <cell r="AL53">
            <v>0</v>
          </cell>
          <cell r="AN53" t="str">
            <v>TL: 01/02/2017</v>
          </cell>
        </row>
      </sheetData>
      <sheetData sheetId="15" refreshError="1"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03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06</v>
          </cell>
        </row>
        <row r="15">
          <cell r="A15" t="str">
            <v>07</v>
          </cell>
        </row>
        <row r="16">
          <cell r="A16" t="str">
            <v>08</v>
          </cell>
        </row>
        <row r="17">
          <cell r="A17" t="str">
            <v>09</v>
          </cell>
        </row>
        <row r="18">
          <cell r="A18" t="str">
            <v>10</v>
          </cell>
        </row>
        <row r="19">
          <cell r="A19" t="str">
            <v>11</v>
          </cell>
        </row>
        <row r="21">
          <cell r="A21" t="str">
            <v>12</v>
          </cell>
        </row>
        <row r="22">
          <cell r="A22" t="str">
            <v>13</v>
          </cell>
        </row>
        <row r="23">
          <cell r="A23" t="str">
            <v>14</v>
          </cell>
        </row>
        <row r="25">
          <cell r="A25" t="str">
            <v>16</v>
          </cell>
        </row>
        <row r="26">
          <cell r="A26" t="str">
            <v>17</v>
          </cell>
        </row>
        <row r="27">
          <cell r="A27" t="str">
            <v>18</v>
          </cell>
        </row>
        <row r="28">
          <cell r="A28" t="str">
            <v>19</v>
          </cell>
        </row>
        <row r="29">
          <cell r="A29" t="str">
            <v>20</v>
          </cell>
        </row>
        <row r="30">
          <cell r="A30" t="str">
            <v>21</v>
          </cell>
        </row>
        <row r="31">
          <cell r="A31" t="str">
            <v>22</v>
          </cell>
        </row>
        <row r="32">
          <cell r="A32" t="str">
            <v>23</v>
          </cell>
        </row>
        <row r="33">
          <cell r="A33" t="str">
            <v>24</v>
          </cell>
        </row>
        <row r="34">
          <cell r="A34" t="str">
            <v>25</v>
          </cell>
        </row>
        <row r="35">
          <cell r="A35" t="str">
            <v>26</v>
          </cell>
        </row>
        <row r="36">
          <cell r="A36" t="str">
            <v>27</v>
          </cell>
        </row>
        <row r="38">
          <cell r="A38" t="str">
            <v>28</v>
          </cell>
        </row>
        <row r="39">
          <cell r="A39" t="str">
            <v>29</v>
          </cell>
        </row>
        <row r="40">
          <cell r="A40" t="str">
            <v>30</v>
          </cell>
        </row>
        <row r="41">
          <cell r="A41" t="str">
            <v>31</v>
          </cell>
        </row>
        <row r="42">
          <cell r="A42" t="str">
            <v>32</v>
          </cell>
        </row>
        <row r="43">
          <cell r="E43">
            <v>98.800000000000011</v>
          </cell>
          <cell r="F43">
            <v>5.2999999999999989</v>
          </cell>
          <cell r="G43">
            <v>0.24900000000000003</v>
          </cell>
          <cell r="H43">
            <v>0</v>
          </cell>
          <cell r="I43">
            <v>3.6790000000000003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R43">
            <v>125784084.40000001</v>
          </cell>
        </row>
        <row r="45">
          <cell r="E45">
            <v>5.76</v>
          </cell>
          <cell r="F45">
            <v>0.9</v>
          </cell>
          <cell r="G45">
            <v>0</v>
          </cell>
          <cell r="I45">
            <v>0.53280000000000005</v>
          </cell>
        </row>
      </sheetData>
      <sheetData sheetId="16" refreshError="1"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R9">
            <v>0</v>
          </cell>
        </row>
      </sheetData>
      <sheetData sheetId="17" refreshError="1">
        <row r="6">
          <cell r="A6" t="str">
            <v>51</v>
          </cell>
        </row>
        <row r="7">
          <cell r="A7" t="str">
            <v>48</v>
          </cell>
        </row>
      </sheetData>
      <sheetData sheetId="18" refreshError="1">
        <row r="7">
          <cell r="A7" t="str">
            <v>33</v>
          </cell>
        </row>
        <row r="8">
          <cell r="A8" t="str">
            <v>34</v>
          </cell>
        </row>
        <row r="9">
          <cell r="A9" t="str">
            <v>35</v>
          </cell>
        </row>
        <row r="10">
          <cell r="A10" t="str">
            <v>36</v>
          </cell>
        </row>
        <row r="11">
          <cell r="A11" t="str">
            <v>37</v>
          </cell>
        </row>
        <row r="12">
          <cell r="A12" t="str">
            <v>38</v>
          </cell>
        </row>
        <row r="13">
          <cell r="A13" t="str">
            <v>39</v>
          </cell>
        </row>
        <row r="14">
          <cell r="A14" t="str">
            <v>40</v>
          </cell>
        </row>
        <row r="15">
          <cell r="A15" t="str">
            <v>41</v>
          </cell>
        </row>
        <row r="16">
          <cell r="A16" t="str">
            <v>49</v>
          </cell>
        </row>
        <row r="17">
          <cell r="A17" t="str">
            <v>50</v>
          </cell>
        </row>
        <row r="18">
          <cell r="A18" t="str">
            <v>Hợp dồng 68</v>
          </cell>
        </row>
        <row r="19">
          <cell r="A19" t="str">
            <v>42</v>
          </cell>
        </row>
        <row r="20">
          <cell r="A20" t="str">
            <v>43</v>
          </cell>
        </row>
        <row r="21">
          <cell r="A21" t="str">
            <v>44</v>
          </cell>
        </row>
        <row r="22">
          <cell r="A22" t="str">
            <v>45</v>
          </cell>
        </row>
        <row r="23">
          <cell r="A23" t="str">
            <v>46</v>
          </cell>
        </row>
        <row r="24">
          <cell r="A24" t="str">
            <v>47</v>
          </cell>
        </row>
        <row r="25">
          <cell r="A25" t="str">
            <v>48</v>
          </cell>
        </row>
        <row r="26">
          <cell r="A26" t="str">
            <v>51</v>
          </cell>
        </row>
        <row r="27">
          <cell r="E27">
            <v>47.240000000000023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Q27">
            <v>54963740</v>
          </cell>
        </row>
      </sheetData>
      <sheetData sheetId="19" refreshError="1">
        <row r="8">
          <cell r="A8" t="str">
            <v>01</v>
          </cell>
        </row>
        <row r="9">
          <cell r="A9" t="str">
            <v>02</v>
          </cell>
        </row>
        <row r="10">
          <cell r="A10" t="str">
            <v>03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06</v>
          </cell>
        </row>
        <row r="14">
          <cell r="A14" t="str">
            <v>07</v>
          </cell>
        </row>
        <row r="15">
          <cell r="A15" t="str">
            <v>08</v>
          </cell>
        </row>
        <row r="16">
          <cell r="A16" t="str">
            <v>09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4">
          <cell r="A24" t="str">
            <v>16</v>
          </cell>
        </row>
        <row r="25">
          <cell r="A25" t="str">
            <v>17</v>
          </cell>
        </row>
        <row r="26">
          <cell r="A26" t="str">
            <v>18</v>
          </cell>
        </row>
        <row r="27">
          <cell r="A27" t="str">
            <v>19</v>
          </cell>
        </row>
        <row r="28">
          <cell r="A28" t="str">
            <v>20</v>
          </cell>
        </row>
        <row r="29">
          <cell r="A29" t="str">
            <v>21</v>
          </cell>
        </row>
        <row r="30">
          <cell r="A30" t="str">
            <v>22</v>
          </cell>
        </row>
        <row r="31">
          <cell r="A31" t="str">
            <v>23</v>
          </cell>
        </row>
        <row r="32">
          <cell r="A32" t="str">
            <v>24</v>
          </cell>
        </row>
        <row r="33">
          <cell r="A33" t="str">
            <v>25</v>
          </cell>
        </row>
        <row r="34">
          <cell r="A34" t="str">
            <v>26</v>
          </cell>
        </row>
        <row r="35">
          <cell r="A35" t="str">
            <v>27</v>
          </cell>
        </row>
        <row r="37">
          <cell r="A37" t="str">
            <v>28</v>
          </cell>
        </row>
        <row r="38">
          <cell r="A38" t="str">
            <v>29</v>
          </cell>
        </row>
        <row r="39">
          <cell r="A39" t="str">
            <v>30</v>
          </cell>
        </row>
        <row r="40">
          <cell r="A40" t="str">
            <v>31</v>
          </cell>
        </row>
        <row r="41">
          <cell r="A41" t="str">
            <v>32</v>
          </cell>
        </row>
        <row r="42">
          <cell r="G42">
            <v>0</v>
          </cell>
          <cell r="H42">
            <v>0</v>
          </cell>
          <cell r="K42">
            <v>0</v>
          </cell>
        </row>
        <row r="59">
          <cell r="A59" t="str">
            <v>Mã
nhân viên</v>
          </cell>
        </row>
        <row r="60">
          <cell r="A60" t="str">
            <v>A</v>
          </cell>
        </row>
        <row r="62">
          <cell r="A62" t="str">
            <v>42</v>
          </cell>
        </row>
        <row r="63">
          <cell r="A63" t="str">
            <v>43</v>
          </cell>
        </row>
        <row r="64">
          <cell r="A64" t="str">
            <v>44</v>
          </cell>
        </row>
        <row r="65">
          <cell r="A65" t="str">
            <v>45</v>
          </cell>
        </row>
        <row r="66">
          <cell r="A66" t="str">
            <v>46</v>
          </cell>
        </row>
        <row r="67">
          <cell r="A67" t="str">
            <v>47</v>
          </cell>
        </row>
        <row r="68">
          <cell r="A68" t="str">
            <v>48</v>
          </cell>
        </row>
        <row r="69">
          <cell r="A69" t="str">
            <v>51</v>
          </cell>
        </row>
        <row r="71">
          <cell r="A71" t="str">
            <v>33</v>
          </cell>
        </row>
        <row r="72">
          <cell r="A72" t="str">
            <v>34</v>
          </cell>
        </row>
        <row r="73">
          <cell r="A73" t="str">
            <v>35</v>
          </cell>
        </row>
        <row r="74">
          <cell r="A74" t="str">
            <v>36</v>
          </cell>
        </row>
        <row r="75">
          <cell r="A75" t="str">
            <v>37</v>
          </cell>
        </row>
        <row r="76">
          <cell r="A76" t="str">
            <v>38</v>
          </cell>
        </row>
        <row r="77">
          <cell r="A77" t="str">
            <v>39</v>
          </cell>
        </row>
        <row r="78">
          <cell r="A78" t="str">
            <v>40</v>
          </cell>
        </row>
        <row r="79">
          <cell r="A79" t="str">
            <v>41</v>
          </cell>
        </row>
        <row r="80">
          <cell r="A80" t="str">
            <v>49</v>
          </cell>
        </row>
        <row r="81">
          <cell r="A81" t="str">
            <v>50</v>
          </cell>
        </row>
        <row r="82">
          <cell r="G82">
            <v>0</v>
          </cell>
          <cell r="H82">
            <v>0</v>
          </cell>
        </row>
      </sheetData>
      <sheetData sheetId="20" refreshError="1">
        <row r="8">
          <cell r="A8" t="str">
            <v>01</v>
          </cell>
        </row>
        <row r="9">
          <cell r="A9" t="str">
            <v>02</v>
          </cell>
        </row>
        <row r="10">
          <cell r="A10" t="str">
            <v>03</v>
          </cell>
        </row>
        <row r="12">
          <cell r="A12" t="str">
            <v>04</v>
          </cell>
        </row>
        <row r="13">
          <cell r="A13" t="str">
            <v>05</v>
          </cell>
        </row>
        <row r="14">
          <cell r="A14" t="str">
            <v>06</v>
          </cell>
        </row>
        <row r="16">
          <cell r="A16" t="str">
            <v>07</v>
          </cell>
        </row>
        <row r="17">
          <cell r="A17" t="str">
            <v>08</v>
          </cell>
        </row>
        <row r="18">
          <cell r="A18" t="str">
            <v>09</v>
          </cell>
        </row>
        <row r="19">
          <cell r="A19" t="str">
            <v>10</v>
          </cell>
        </row>
        <row r="21">
          <cell r="A21" t="str">
            <v>12</v>
          </cell>
        </row>
        <row r="22">
          <cell r="A22" t="str">
            <v>13</v>
          </cell>
        </row>
        <row r="23">
          <cell r="A23" t="str">
            <v>14</v>
          </cell>
        </row>
        <row r="25">
          <cell r="A25" t="str">
            <v>16</v>
          </cell>
        </row>
        <row r="26">
          <cell r="A26" t="str">
            <v>17</v>
          </cell>
        </row>
        <row r="27">
          <cell r="A27" t="str">
            <v>18</v>
          </cell>
        </row>
        <row r="28">
          <cell r="A28" t="str">
            <v>19</v>
          </cell>
        </row>
        <row r="29">
          <cell r="A29" t="str">
            <v>20</v>
          </cell>
        </row>
        <row r="30">
          <cell r="A30" t="str">
            <v>21</v>
          </cell>
        </row>
        <row r="31">
          <cell r="A31" t="str">
            <v>22</v>
          </cell>
        </row>
        <row r="32">
          <cell r="A32" t="str">
            <v>25</v>
          </cell>
        </row>
        <row r="33">
          <cell r="A33" t="str">
            <v>26</v>
          </cell>
        </row>
        <row r="34">
          <cell r="A34" t="str">
            <v>27</v>
          </cell>
        </row>
        <row r="36">
          <cell r="A36" t="str">
            <v>29</v>
          </cell>
        </row>
        <row r="37">
          <cell r="A37" t="str">
            <v>30</v>
          </cell>
        </row>
        <row r="38">
          <cell r="A38" t="str">
            <v>31</v>
          </cell>
        </row>
        <row r="40">
          <cell r="A40" t="str">
            <v>51</v>
          </cell>
        </row>
        <row r="41">
          <cell r="A41" t="str">
            <v>52</v>
          </cell>
        </row>
      </sheetData>
      <sheetData sheetId="21" refreshError="1">
        <row r="3">
          <cell r="A3" t="str">
            <v>01</v>
          </cell>
          <cell r="S3">
            <v>11319729.200000001</v>
          </cell>
        </row>
        <row r="4">
          <cell r="A4" t="str">
            <v>02</v>
          </cell>
        </row>
        <row r="5">
          <cell r="A5" t="str">
            <v>03</v>
          </cell>
        </row>
        <row r="6">
          <cell r="A6" t="str">
            <v>04</v>
          </cell>
        </row>
        <row r="7">
          <cell r="A7" t="str">
            <v>05</v>
          </cell>
        </row>
        <row r="8">
          <cell r="A8" t="str">
            <v>06</v>
          </cell>
        </row>
        <row r="9">
          <cell r="A9" t="str">
            <v>07</v>
          </cell>
        </row>
        <row r="10">
          <cell r="A10" t="str">
            <v>08</v>
          </cell>
        </row>
        <row r="11">
          <cell r="A11" t="str">
            <v>09</v>
          </cell>
        </row>
        <row r="12">
          <cell r="A12" t="str">
            <v>10</v>
          </cell>
        </row>
        <row r="13">
          <cell r="A13" t="str">
            <v>11</v>
          </cell>
        </row>
        <row r="14">
          <cell r="A14" t="str">
            <v>12</v>
          </cell>
        </row>
        <row r="15">
          <cell r="A15" t="str">
            <v>13</v>
          </cell>
        </row>
        <row r="16">
          <cell r="A16" t="str">
            <v>14</v>
          </cell>
        </row>
        <row r="17">
          <cell r="A17" t="str">
            <v>16</v>
          </cell>
        </row>
        <row r="18">
          <cell r="A18" t="str">
            <v>17</v>
          </cell>
        </row>
        <row r="19">
          <cell r="A19" t="str">
            <v>18</v>
          </cell>
        </row>
        <row r="20">
          <cell r="A20" t="str">
            <v>19</v>
          </cell>
        </row>
        <row r="21">
          <cell r="A21" t="str">
            <v>20</v>
          </cell>
        </row>
        <row r="22">
          <cell r="A22" t="str">
            <v>21</v>
          </cell>
        </row>
        <row r="23">
          <cell r="A23" t="str">
            <v>22</v>
          </cell>
        </row>
        <row r="24">
          <cell r="A24" t="str">
            <v>23</v>
          </cell>
        </row>
        <row r="25">
          <cell r="A25" t="str">
            <v>24</v>
          </cell>
        </row>
        <row r="26">
          <cell r="A26" t="str">
            <v>25</v>
          </cell>
        </row>
        <row r="27">
          <cell r="A27" t="str">
            <v>26</v>
          </cell>
        </row>
        <row r="28">
          <cell r="A28" t="str">
            <v>27</v>
          </cell>
        </row>
        <row r="29">
          <cell r="A29" t="str">
            <v>28</v>
          </cell>
        </row>
        <row r="30">
          <cell r="A30" t="str">
            <v>29</v>
          </cell>
        </row>
        <row r="31">
          <cell r="A31" t="str">
            <v>30</v>
          </cell>
        </row>
        <row r="32">
          <cell r="A32" t="str">
            <v>31</v>
          </cell>
        </row>
        <row r="33">
          <cell r="A33" t="str">
            <v>32</v>
          </cell>
        </row>
        <row r="34">
          <cell r="A34" t="str">
            <v>33</v>
          </cell>
        </row>
        <row r="35">
          <cell r="A35" t="str">
            <v>34</v>
          </cell>
        </row>
        <row r="36">
          <cell r="A36" t="str">
            <v>35</v>
          </cell>
        </row>
        <row r="37">
          <cell r="A37" t="str">
            <v>36</v>
          </cell>
        </row>
        <row r="38">
          <cell r="A38" t="str">
            <v>37</v>
          </cell>
        </row>
        <row r="39">
          <cell r="A39" t="str">
            <v>38</v>
          </cell>
        </row>
        <row r="40">
          <cell r="A40" t="str">
            <v>39</v>
          </cell>
        </row>
        <row r="41">
          <cell r="A41" t="str">
            <v>40</v>
          </cell>
        </row>
        <row r="42">
          <cell r="A42" t="str">
            <v>41</v>
          </cell>
        </row>
        <row r="43">
          <cell r="A43" t="str">
            <v>42</v>
          </cell>
        </row>
        <row r="44">
          <cell r="A44" t="str">
            <v>43</v>
          </cell>
        </row>
        <row r="45">
          <cell r="A45" t="str">
            <v>44</v>
          </cell>
        </row>
        <row r="46">
          <cell r="A46" t="str">
            <v>45</v>
          </cell>
        </row>
        <row r="47">
          <cell r="A47" t="str">
            <v>46</v>
          </cell>
        </row>
        <row r="48">
          <cell r="A48" t="str">
            <v>47</v>
          </cell>
        </row>
        <row r="49">
          <cell r="A49" t="str">
            <v>48</v>
          </cell>
        </row>
        <row r="50">
          <cell r="A50" t="str">
            <v>49</v>
          </cell>
        </row>
        <row r="51">
          <cell r="A51" t="str">
            <v>50</v>
          </cell>
        </row>
        <row r="52">
          <cell r="A52" t="str">
            <v>51</v>
          </cell>
        </row>
        <row r="53">
          <cell r="C53">
            <v>146.03999999999996</v>
          </cell>
          <cell r="S53">
            <v>207376424.40000001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">
          <cell r="B1" t="str">
            <v>Tây Ninh, ngày 02 tháng 1 năm 2018</v>
          </cell>
        </row>
        <row r="2">
          <cell r="B2" t="str">
            <v>Tháng 1 năm 2018</v>
          </cell>
        </row>
        <row r="3">
          <cell r="B3" t="str">
            <v>Nguyễn Thị Thu Lan</v>
          </cell>
        </row>
        <row r="4">
          <cell r="B4" t="str">
            <v>Nguyễn Văn Cường</v>
          </cell>
        </row>
        <row r="6">
          <cell r="B6" t="str">
            <v>Ghi chú: BHXH, BHYT, BHTN = (Hệ số lương + Chức vụ + Vượt khung + Thâm niên nghề) x 1.300.000 x Hệ số BHXH, BHYT, BHTN</v>
          </cell>
        </row>
      </sheetData>
      <sheetData sheetId="28" refreshError="1">
        <row r="3">
          <cell r="B3">
            <v>1300000</v>
          </cell>
          <cell r="C3">
            <v>1300000</v>
          </cell>
          <cell r="D3">
            <v>0</v>
          </cell>
        </row>
        <row r="4">
          <cell r="C4">
            <v>0.08</v>
          </cell>
          <cell r="D4">
            <v>0.17499999999999999</v>
          </cell>
        </row>
        <row r="5">
          <cell r="C5">
            <v>1.4999999999999999E-2</v>
          </cell>
          <cell r="D5">
            <v>0.03</v>
          </cell>
        </row>
        <row r="6">
          <cell r="C6">
            <v>0.01</v>
          </cell>
          <cell r="D6">
            <v>0.01</v>
          </cell>
        </row>
        <row r="7">
          <cell r="D7">
            <v>0.02</v>
          </cell>
        </row>
        <row r="9">
          <cell r="B9">
            <v>12</v>
          </cell>
        </row>
      </sheetData>
      <sheetData sheetId="29" refreshError="1">
        <row r="3">
          <cell r="A3" t="str">
            <v>01</v>
          </cell>
          <cell r="B3" t="str">
            <v>Bậc 01</v>
          </cell>
        </row>
        <row r="4">
          <cell r="A4" t="str">
            <v>02</v>
          </cell>
          <cell r="B4" t="str">
            <v>Bậc 02</v>
          </cell>
        </row>
        <row r="5">
          <cell r="A5" t="str">
            <v>03</v>
          </cell>
          <cell r="B5" t="str">
            <v>Bậc 03</v>
          </cell>
        </row>
        <row r="6">
          <cell r="A6" t="str">
            <v>04</v>
          </cell>
          <cell r="B6" t="str">
            <v>Bậc 04</v>
          </cell>
        </row>
        <row r="7">
          <cell r="A7" t="str">
            <v>05</v>
          </cell>
          <cell r="B7" t="str">
            <v>Bậc 05</v>
          </cell>
        </row>
        <row r="8">
          <cell r="A8" t="str">
            <v>06</v>
          </cell>
          <cell r="B8" t="str">
            <v>Bậc 06</v>
          </cell>
        </row>
        <row r="9">
          <cell r="A9" t="str">
            <v>07</v>
          </cell>
          <cell r="B9" t="str">
            <v>Bậc 07</v>
          </cell>
        </row>
        <row r="10">
          <cell r="A10" t="str">
            <v>08</v>
          </cell>
          <cell r="B10" t="str">
            <v>Bậc 08</v>
          </cell>
        </row>
        <row r="11">
          <cell r="A11" t="str">
            <v>09</v>
          </cell>
          <cell r="B11" t="str">
            <v>Bậc 09</v>
          </cell>
        </row>
        <row r="12">
          <cell r="A12" t="str">
            <v>10</v>
          </cell>
          <cell r="B12" t="str">
            <v>Bậc 10</v>
          </cell>
        </row>
        <row r="13">
          <cell r="A13" t="str">
            <v>11</v>
          </cell>
          <cell r="B13" t="str">
            <v>Bậc 11</v>
          </cell>
        </row>
        <row r="14">
          <cell r="A14" t="str">
            <v>12</v>
          </cell>
          <cell r="B14" t="str">
            <v>Bậc 12</v>
          </cell>
        </row>
        <row r="16">
          <cell r="A16" t="str">
            <v>50</v>
          </cell>
          <cell r="B16" t="str">
            <v>Khác</v>
          </cell>
        </row>
      </sheetData>
      <sheetData sheetId="30" refreshError="1">
        <row r="3">
          <cell r="A3" t="str">
            <v>01</v>
          </cell>
          <cell r="B3" t="str">
            <v>GĐ</v>
          </cell>
          <cell r="C3">
            <v>0.9</v>
          </cell>
        </row>
        <row r="4">
          <cell r="A4" t="str">
            <v>02</v>
          </cell>
          <cell r="B4" t="str">
            <v>PGĐ</v>
          </cell>
          <cell r="C4">
            <v>0.7</v>
          </cell>
        </row>
        <row r="5">
          <cell r="A5" t="str">
            <v>03</v>
          </cell>
          <cell r="B5" t="str">
            <v>TP</v>
          </cell>
          <cell r="C5">
            <v>0.5</v>
          </cell>
        </row>
        <row r="6">
          <cell r="A6" t="str">
            <v>04</v>
          </cell>
          <cell r="B6" t="str">
            <v>P.TP</v>
          </cell>
          <cell r="C6">
            <v>0.3</v>
          </cell>
        </row>
        <row r="7">
          <cell r="A7" t="str">
            <v>05</v>
          </cell>
          <cell r="B7" t="str">
            <v>NV</v>
          </cell>
          <cell r="C7">
            <v>0</v>
          </cell>
        </row>
        <row r="8">
          <cell r="A8" t="str">
            <v>06</v>
          </cell>
          <cell r="B8" t="str">
            <v>TQ</v>
          </cell>
          <cell r="C8">
            <v>0</v>
          </cell>
        </row>
        <row r="9">
          <cell r="A9" t="str">
            <v>07</v>
          </cell>
          <cell r="B9" t="str">
            <v>Q.HT</v>
          </cell>
          <cell r="C9">
            <v>0.4</v>
          </cell>
        </row>
        <row r="10">
          <cell r="A10" t="str">
            <v>08</v>
          </cell>
          <cell r="B10" t="str">
            <v>P.HT</v>
          </cell>
          <cell r="C10">
            <v>0.3</v>
          </cell>
        </row>
      </sheetData>
      <sheetData sheetId="31" refreshError="1">
        <row r="3">
          <cell r="A3" t="str">
            <v>01</v>
          </cell>
          <cell r="B3" t="str">
            <v>Vượt khung 1%</v>
          </cell>
          <cell r="C3">
            <v>0.01</v>
          </cell>
        </row>
        <row r="4">
          <cell r="A4" t="str">
            <v>02</v>
          </cell>
          <cell r="B4" t="str">
            <v>Vượt khung 2%</v>
          </cell>
          <cell r="C4">
            <v>0.02</v>
          </cell>
        </row>
        <row r="5">
          <cell r="A5" t="str">
            <v>03</v>
          </cell>
          <cell r="B5" t="str">
            <v>Vượt khung 3%</v>
          </cell>
          <cell r="C5">
            <v>0.03</v>
          </cell>
        </row>
        <row r="6">
          <cell r="A6" t="str">
            <v>04</v>
          </cell>
          <cell r="B6" t="str">
            <v>Vượt khung 4%</v>
          </cell>
          <cell r="C6">
            <v>0.04</v>
          </cell>
        </row>
        <row r="7">
          <cell r="A7" t="str">
            <v>05</v>
          </cell>
          <cell r="B7" t="str">
            <v>Vượt khung 5%</v>
          </cell>
          <cell r="C7">
            <v>0.05</v>
          </cell>
        </row>
        <row r="8">
          <cell r="A8" t="str">
            <v>06</v>
          </cell>
          <cell r="B8" t="str">
            <v>Vượt khung 6%</v>
          </cell>
          <cell r="C8">
            <v>0.06</v>
          </cell>
        </row>
        <row r="9">
          <cell r="A9" t="str">
            <v>07</v>
          </cell>
          <cell r="B9" t="str">
            <v>Vượt khung 7%</v>
          </cell>
          <cell r="C9">
            <v>7.0000000000000007E-2</v>
          </cell>
        </row>
        <row r="10">
          <cell r="A10" t="str">
            <v>08</v>
          </cell>
          <cell r="B10" t="str">
            <v>Vượt khung 8%</v>
          </cell>
          <cell r="C10">
            <v>0.08</v>
          </cell>
        </row>
        <row r="11">
          <cell r="A11" t="str">
            <v>09</v>
          </cell>
          <cell r="B11" t="str">
            <v>Vượt khung 9%</v>
          </cell>
          <cell r="C11">
            <v>0.09</v>
          </cell>
        </row>
        <row r="12">
          <cell r="A12" t="str">
            <v>10</v>
          </cell>
          <cell r="B12" t="str">
            <v>Vượt khung 10%</v>
          </cell>
          <cell r="C12">
            <v>0.1</v>
          </cell>
        </row>
        <row r="13">
          <cell r="A13" t="str">
            <v>11</v>
          </cell>
          <cell r="B13" t="str">
            <v>Vượt khung 11%</v>
          </cell>
          <cell r="C13">
            <v>0.11</v>
          </cell>
        </row>
        <row r="14">
          <cell r="A14" t="str">
            <v>12</v>
          </cell>
          <cell r="B14" t="str">
            <v>Vượt khung 12%</v>
          </cell>
          <cell r="C14">
            <v>0.12</v>
          </cell>
        </row>
        <row r="15">
          <cell r="A15" t="str">
            <v>13</v>
          </cell>
          <cell r="B15" t="str">
            <v>Vượt khung 13%</v>
          </cell>
          <cell r="C15">
            <v>0.13</v>
          </cell>
        </row>
        <row r="16">
          <cell r="A16" t="str">
            <v>14</v>
          </cell>
          <cell r="B16" t="str">
            <v>Vượt khung 14%</v>
          </cell>
          <cell r="C16">
            <v>0.14000000000000001</v>
          </cell>
        </row>
        <row r="17">
          <cell r="A17" t="str">
            <v>15</v>
          </cell>
          <cell r="B17" t="str">
            <v>Vượt khung 15%</v>
          </cell>
          <cell r="C17">
            <v>0.15</v>
          </cell>
        </row>
        <row r="18">
          <cell r="A18" t="str">
            <v>16</v>
          </cell>
          <cell r="B18" t="str">
            <v>Vượt khung 16%</v>
          </cell>
          <cell r="C18">
            <v>0.16</v>
          </cell>
        </row>
        <row r="19">
          <cell r="A19" t="str">
            <v>17</v>
          </cell>
          <cell r="B19" t="str">
            <v>Vượt khung 17%</v>
          </cell>
          <cell r="C19">
            <v>0.17</v>
          </cell>
        </row>
        <row r="20">
          <cell r="A20" t="str">
            <v>18</v>
          </cell>
          <cell r="B20" t="str">
            <v>Vượt khung 18%</v>
          </cell>
          <cell r="C20">
            <v>0.18</v>
          </cell>
        </row>
        <row r="21">
          <cell r="A21" t="str">
            <v>19</v>
          </cell>
          <cell r="B21" t="str">
            <v>Vượt khung 19%</v>
          </cell>
          <cell r="C21">
            <v>0.19</v>
          </cell>
        </row>
        <row r="22">
          <cell r="A22" t="str">
            <v>20</v>
          </cell>
          <cell r="B22" t="str">
            <v>Vượt khung 20%</v>
          </cell>
          <cell r="C22">
            <v>0.2</v>
          </cell>
        </row>
        <row r="23">
          <cell r="A23" t="str">
            <v>21</v>
          </cell>
          <cell r="B23" t="str">
            <v>Vượt khung 21%</v>
          </cell>
          <cell r="C23">
            <v>0.21</v>
          </cell>
        </row>
        <row r="24">
          <cell r="A24" t="str">
            <v>22</v>
          </cell>
          <cell r="B24" t="str">
            <v>Vượt khung 22%</v>
          </cell>
          <cell r="C24">
            <v>0.22</v>
          </cell>
        </row>
        <row r="25">
          <cell r="A25" t="str">
            <v>23</v>
          </cell>
          <cell r="B25" t="str">
            <v>Vượt khung 23%</v>
          </cell>
          <cell r="C25">
            <v>0.23</v>
          </cell>
        </row>
        <row r="26">
          <cell r="A26" t="str">
            <v>24</v>
          </cell>
          <cell r="B26" t="str">
            <v>Vượt khung 24%</v>
          </cell>
          <cell r="C26">
            <v>0.24</v>
          </cell>
        </row>
        <row r="27">
          <cell r="A27" t="str">
            <v>25</v>
          </cell>
          <cell r="B27" t="str">
            <v>Vượt khung 25%</v>
          </cell>
          <cell r="C27">
            <v>0.25</v>
          </cell>
        </row>
        <row r="28">
          <cell r="A28" t="str">
            <v>26</v>
          </cell>
          <cell r="B28" t="str">
            <v>Vượt khung 26%</v>
          </cell>
          <cell r="C28">
            <v>0.26</v>
          </cell>
        </row>
        <row r="29">
          <cell r="A29" t="str">
            <v>27</v>
          </cell>
          <cell r="B29" t="str">
            <v>Vượt khung 27%</v>
          </cell>
          <cell r="C29">
            <v>0.27</v>
          </cell>
        </row>
        <row r="30">
          <cell r="A30" t="str">
            <v>28</v>
          </cell>
          <cell r="B30" t="str">
            <v>Vượt khung 28%</v>
          </cell>
          <cell r="C30">
            <v>0.28000000000000003</v>
          </cell>
        </row>
        <row r="31">
          <cell r="A31" t="str">
            <v>29</v>
          </cell>
          <cell r="B31" t="str">
            <v>Vượt khung 29%</v>
          </cell>
          <cell r="C31">
            <v>0.28999999999999998</v>
          </cell>
        </row>
        <row r="32">
          <cell r="A32" t="str">
            <v>30</v>
          </cell>
          <cell r="B32" t="str">
            <v>Vượt khung 30%</v>
          </cell>
          <cell r="C32">
            <v>0.3</v>
          </cell>
        </row>
        <row r="33">
          <cell r="A33" t="str">
            <v>31</v>
          </cell>
          <cell r="B33" t="str">
            <v>Vượt khung 31%</v>
          </cell>
          <cell r="C33">
            <v>0.31</v>
          </cell>
        </row>
        <row r="34">
          <cell r="A34" t="str">
            <v>32</v>
          </cell>
          <cell r="B34" t="str">
            <v>Vượt khung 32%</v>
          </cell>
          <cell r="C34">
            <v>0.32</v>
          </cell>
        </row>
        <row r="35">
          <cell r="A35" t="str">
            <v>50</v>
          </cell>
          <cell r="B35" t="str">
            <v>Không vượt khung</v>
          </cell>
          <cell r="C35">
            <v>0</v>
          </cell>
        </row>
      </sheetData>
      <sheetData sheetId="32" refreshError="1">
        <row r="3">
          <cell r="A3" t="str">
            <v>01</v>
          </cell>
          <cell r="B3" t="str">
            <v>Hưởng khu vực</v>
          </cell>
          <cell r="C3">
            <v>0.2</v>
          </cell>
        </row>
        <row r="4">
          <cell r="A4" t="str">
            <v>09</v>
          </cell>
          <cell r="B4" t="str">
            <v>Không hưởng khu vực</v>
          </cell>
          <cell r="C4">
            <v>0</v>
          </cell>
        </row>
      </sheetData>
      <sheetData sheetId="33" refreshError="1">
        <row r="3">
          <cell r="A3" t="str">
            <v>01</v>
          </cell>
          <cell r="B3" t="str">
            <v>Thâm niên nghề 1%</v>
          </cell>
          <cell r="C3">
            <v>0.01</v>
          </cell>
        </row>
        <row r="4">
          <cell r="A4" t="str">
            <v>02</v>
          </cell>
          <cell r="B4" t="str">
            <v>Thâm niên nghề 2%</v>
          </cell>
          <cell r="C4">
            <v>0.02</v>
          </cell>
        </row>
        <row r="5">
          <cell r="A5" t="str">
            <v>03</v>
          </cell>
          <cell r="B5" t="str">
            <v>Thâm niên nghề 3%</v>
          </cell>
          <cell r="C5">
            <v>0.03</v>
          </cell>
        </row>
        <row r="6">
          <cell r="A6" t="str">
            <v>04</v>
          </cell>
          <cell r="B6" t="str">
            <v>Thâm niên nghề 4%</v>
          </cell>
          <cell r="C6">
            <v>0.04</v>
          </cell>
        </row>
        <row r="7">
          <cell r="A7" t="str">
            <v>05</v>
          </cell>
          <cell r="B7" t="str">
            <v>Thâm niên nghề 5%</v>
          </cell>
          <cell r="C7">
            <v>0.05</v>
          </cell>
        </row>
        <row r="8">
          <cell r="A8" t="str">
            <v>06</v>
          </cell>
          <cell r="B8" t="str">
            <v>Thâm niên nghề 6%</v>
          </cell>
          <cell r="C8">
            <v>0.06</v>
          </cell>
        </row>
        <row r="9">
          <cell r="A9" t="str">
            <v>07</v>
          </cell>
          <cell r="B9" t="str">
            <v>Thâm niên nghề 7%</v>
          </cell>
          <cell r="C9">
            <v>7.0000000000000007E-2</v>
          </cell>
        </row>
        <row r="10">
          <cell r="A10" t="str">
            <v>08</v>
          </cell>
          <cell r="B10" t="str">
            <v>Thâm niên nghề 8%</v>
          </cell>
          <cell r="C10">
            <v>0.08</v>
          </cell>
        </row>
        <row r="11">
          <cell r="A11" t="str">
            <v>09</v>
          </cell>
          <cell r="B11" t="str">
            <v>Thâm niên nghề 9%</v>
          </cell>
          <cell r="C11">
            <v>0.09</v>
          </cell>
        </row>
        <row r="12">
          <cell r="A12" t="str">
            <v>10</v>
          </cell>
          <cell r="B12" t="str">
            <v>Thâm niên nghề 10%</v>
          </cell>
          <cell r="C12">
            <v>0.1</v>
          </cell>
        </row>
        <row r="13">
          <cell r="A13" t="str">
            <v>11</v>
          </cell>
          <cell r="B13" t="str">
            <v>Thâm niên nghề 11%</v>
          </cell>
          <cell r="C13">
            <v>0.11</v>
          </cell>
        </row>
        <row r="14">
          <cell r="A14" t="str">
            <v>12</v>
          </cell>
          <cell r="B14" t="str">
            <v>Thâm niên nghề 12%</v>
          </cell>
          <cell r="C14">
            <v>0.12</v>
          </cell>
        </row>
        <row r="15">
          <cell r="A15" t="str">
            <v>13</v>
          </cell>
          <cell r="B15" t="str">
            <v>Thâm niên nghề 13%</v>
          </cell>
          <cell r="C15">
            <v>0.13</v>
          </cell>
        </row>
        <row r="16">
          <cell r="A16" t="str">
            <v>14</v>
          </cell>
          <cell r="B16" t="str">
            <v>Thâm niên nghề 14%</v>
          </cell>
          <cell r="C16">
            <v>0.14000000000000001</v>
          </cell>
        </row>
        <row r="17">
          <cell r="A17" t="str">
            <v>15</v>
          </cell>
          <cell r="B17" t="str">
            <v>Thâm niên nghề 15%</v>
          </cell>
          <cell r="C17">
            <v>0.15</v>
          </cell>
        </row>
        <row r="18">
          <cell r="A18" t="str">
            <v>16</v>
          </cell>
          <cell r="B18" t="str">
            <v>Thâm niên nghề 16%</v>
          </cell>
          <cell r="C18">
            <v>0.16</v>
          </cell>
        </row>
        <row r="19">
          <cell r="A19" t="str">
            <v>17</v>
          </cell>
          <cell r="B19" t="str">
            <v>Thâm niên nghề 17%</v>
          </cell>
          <cell r="C19">
            <v>0.17</v>
          </cell>
        </row>
        <row r="20">
          <cell r="A20" t="str">
            <v>18</v>
          </cell>
          <cell r="B20" t="str">
            <v>Thâm niên nghề 18%</v>
          </cell>
          <cell r="C20">
            <v>0.18</v>
          </cell>
        </row>
        <row r="21">
          <cell r="A21" t="str">
            <v>19</v>
          </cell>
          <cell r="B21" t="str">
            <v>Thâm niên nghề 19%</v>
          </cell>
          <cell r="C21">
            <v>0.19</v>
          </cell>
        </row>
        <row r="22">
          <cell r="A22" t="str">
            <v>20</v>
          </cell>
          <cell r="B22" t="str">
            <v>Thâm niên nghề 20%</v>
          </cell>
          <cell r="C22">
            <v>0.2</v>
          </cell>
        </row>
        <row r="23">
          <cell r="A23" t="str">
            <v>21</v>
          </cell>
          <cell r="B23" t="str">
            <v>Thâm niên nghề 21%</v>
          </cell>
          <cell r="C23">
            <v>0.21</v>
          </cell>
        </row>
        <row r="24">
          <cell r="A24" t="str">
            <v>22</v>
          </cell>
          <cell r="B24" t="str">
            <v>Thâm niên nghề 22%</v>
          </cell>
          <cell r="C24">
            <v>0.22</v>
          </cell>
        </row>
        <row r="25">
          <cell r="A25" t="str">
            <v>23</v>
          </cell>
          <cell r="B25" t="str">
            <v>Thâm niên nghề 23%</v>
          </cell>
          <cell r="C25">
            <v>0.23</v>
          </cell>
        </row>
        <row r="26">
          <cell r="A26" t="str">
            <v>24</v>
          </cell>
          <cell r="B26" t="str">
            <v>Thâm niên nghề 24%</v>
          </cell>
          <cell r="C26">
            <v>0.24</v>
          </cell>
        </row>
        <row r="27">
          <cell r="A27" t="str">
            <v>25</v>
          </cell>
          <cell r="B27" t="str">
            <v>Thâm niên nghề 25%</v>
          </cell>
          <cell r="C27">
            <v>0.25</v>
          </cell>
        </row>
        <row r="28">
          <cell r="A28" t="str">
            <v>26</v>
          </cell>
          <cell r="B28" t="str">
            <v>Thâm niên nghề 26%</v>
          </cell>
          <cell r="C28">
            <v>0.26</v>
          </cell>
        </row>
        <row r="29">
          <cell r="A29" t="str">
            <v>27</v>
          </cell>
          <cell r="B29" t="str">
            <v>Thâm niên nghề 27%</v>
          </cell>
          <cell r="C29">
            <v>0.27</v>
          </cell>
        </row>
        <row r="30">
          <cell r="A30" t="str">
            <v>28</v>
          </cell>
          <cell r="B30" t="str">
            <v>Thâm niên nghề 28%</v>
          </cell>
          <cell r="C30">
            <v>0.28000000000000003</v>
          </cell>
        </row>
        <row r="31">
          <cell r="A31" t="str">
            <v>29</v>
          </cell>
          <cell r="B31" t="str">
            <v>Thâm niên nghề 29%</v>
          </cell>
          <cell r="C31">
            <v>0.28999999999999998</v>
          </cell>
        </row>
        <row r="32">
          <cell r="A32" t="str">
            <v>30</v>
          </cell>
          <cell r="B32" t="str">
            <v>Thâm niên nghề 30%</v>
          </cell>
          <cell r="C32">
            <v>0.3</v>
          </cell>
        </row>
        <row r="33">
          <cell r="A33" t="str">
            <v>31</v>
          </cell>
          <cell r="B33" t="str">
            <v>Thâm niên nghề 31%</v>
          </cell>
          <cell r="C33">
            <v>0.31</v>
          </cell>
        </row>
        <row r="34">
          <cell r="A34" t="str">
            <v>32</v>
          </cell>
          <cell r="B34" t="str">
            <v>Thâm niên nghề32%</v>
          </cell>
          <cell r="C34">
            <v>0.32</v>
          </cell>
        </row>
        <row r="35">
          <cell r="A35" t="str">
            <v>50</v>
          </cell>
          <cell r="B35" t="str">
            <v>Không thâm niên nghề</v>
          </cell>
          <cell r="C35">
            <v>0</v>
          </cell>
        </row>
      </sheetData>
      <sheetData sheetId="34" refreshError="1">
        <row r="3">
          <cell r="A3" t="str">
            <v>01</v>
          </cell>
          <cell r="B3" t="str">
            <v>Hưởng độc hại</v>
          </cell>
          <cell r="C3">
            <v>0.2</v>
          </cell>
        </row>
        <row r="4">
          <cell r="A4" t="str">
            <v>02</v>
          </cell>
          <cell r="B4" t="str">
            <v>Hưởng độc hại</v>
          </cell>
          <cell r="C4">
            <v>0.1</v>
          </cell>
        </row>
        <row r="5">
          <cell r="A5" t="str">
            <v>09</v>
          </cell>
          <cell r="B5" t="str">
            <v>Không độc hại</v>
          </cell>
          <cell r="C5">
            <v>0</v>
          </cell>
        </row>
      </sheetData>
      <sheetData sheetId="35" refreshError="1">
        <row r="3">
          <cell r="A3" t="str">
            <v>01</v>
          </cell>
          <cell r="B3" t="str">
            <v>Hưởng 20% ưu đãi nghề</v>
          </cell>
          <cell r="C3">
            <v>0.2</v>
          </cell>
        </row>
        <row r="4">
          <cell r="A4" t="str">
            <v>02</v>
          </cell>
          <cell r="B4" t="str">
            <v>Hưởng 40% ưu đãi nghề</v>
          </cell>
          <cell r="C4">
            <v>0.4</v>
          </cell>
        </row>
        <row r="5">
          <cell r="A5" t="str">
            <v>09</v>
          </cell>
          <cell r="B5" t="str">
            <v>Không hưởng ưu đãi nghề</v>
          </cell>
          <cell r="C5">
            <v>0</v>
          </cell>
        </row>
      </sheetData>
      <sheetData sheetId="36" refreshError="1">
        <row r="3">
          <cell r="A3" t="str">
            <v>01</v>
          </cell>
          <cell r="B3" t="str">
            <v>Trách nhiệm</v>
          </cell>
          <cell r="C3">
            <v>0.1</v>
          </cell>
        </row>
        <row r="4">
          <cell r="A4" t="str">
            <v>02</v>
          </cell>
          <cell r="B4" t="str">
            <v>Trách nhiệm</v>
          </cell>
          <cell r="C4">
            <v>0.3</v>
          </cell>
        </row>
        <row r="5">
          <cell r="A5" t="str">
            <v>09</v>
          </cell>
          <cell r="B5" t="str">
            <v>Không trách nhiệm</v>
          </cell>
          <cell r="C5">
            <v>0</v>
          </cell>
        </row>
      </sheetData>
      <sheetData sheetId="37" refreshError="1">
        <row r="3">
          <cell r="A3" t="str">
            <v>01</v>
          </cell>
          <cell r="B3" t="str">
            <v>Phụ kiện hợp đồng</v>
          </cell>
          <cell r="C3">
            <v>300000</v>
          </cell>
        </row>
        <row r="4">
          <cell r="A4" t="str">
            <v>02</v>
          </cell>
          <cell r="B4" t="str">
            <v>Phụ kiện hợp đồng</v>
          </cell>
          <cell r="C4">
            <v>700000</v>
          </cell>
        </row>
        <row r="5">
          <cell r="A5" t="str">
            <v>03</v>
          </cell>
          <cell r="B5" t="str">
            <v>Phụ kiện hợp đồng</v>
          </cell>
          <cell r="C5">
            <v>1200000</v>
          </cell>
        </row>
        <row r="6">
          <cell r="A6" t="str">
            <v>04</v>
          </cell>
          <cell r="B6" t="str">
            <v>Tháng 9</v>
          </cell>
          <cell r="C6">
            <v>1000000</v>
          </cell>
        </row>
        <row r="7">
          <cell r="A7" t="str">
            <v>09</v>
          </cell>
          <cell r="B7" t="str">
            <v>Không phụ kiện hợp đồng</v>
          </cell>
          <cell r="C7">
            <v>0</v>
          </cell>
        </row>
      </sheetData>
      <sheetData sheetId="38" refreshError="1">
        <row r="3">
          <cell r="A3" t="str">
            <v>01</v>
          </cell>
          <cell r="B3" t="str">
            <v>Kiêm nhiệm</v>
          </cell>
          <cell r="C3">
            <v>0.1</v>
          </cell>
        </row>
        <row r="4">
          <cell r="A4" t="str">
            <v>09</v>
          </cell>
          <cell r="B4" t="str">
            <v>Không kiêm nhiệm</v>
          </cell>
          <cell r="C4">
            <v>0</v>
          </cell>
        </row>
      </sheetData>
      <sheetData sheetId="39" refreshError="1">
        <row r="3">
          <cell r="A3" t="str">
            <v>01</v>
          </cell>
          <cell r="B3" t="str">
            <v>Phu cấp 116 70%</v>
          </cell>
          <cell r="C3">
            <v>0</v>
          </cell>
        </row>
        <row r="4">
          <cell r="A4" t="str">
            <v>09</v>
          </cell>
          <cell r="B4" t="str">
            <v>Không kiêm nhiệm</v>
          </cell>
          <cell r="C4">
            <v>0</v>
          </cell>
        </row>
      </sheetData>
      <sheetData sheetId="40" refreshError="1">
        <row r="3">
          <cell r="A3" t="str">
            <v>01</v>
          </cell>
          <cell r="B3" t="str">
            <v>Phụ cấp 116 50%</v>
          </cell>
          <cell r="C3">
            <v>0</v>
          </cell>
        </row>
        <row r="4">
          <cell r="A4" t="str">
            <v>02</v>
          </cell>
          <cell r="B4" t="str">
            <v>Phụ cấp 116 70%</v>
          </cell>
          <cell r="C4">
            <v>0</v>
          </cell>
        </row>
        <row r="5">
          <cell r="A5" t="str">
            <v>03</v>
          </cell>
          <cell r="B5" t="str">
            <v>Phụ cấp 116 100%</v>
          </cell>
          <cell r="C5">
            <v>0</v>
          </cell>
        </row>
        <row r="6">
          <cell r="A6" t="str">
            <v>09</v>
          </cell>
          <cell r="B6" t="str">
            <v>Khác</v>
          </cell>
          <cell r="C6">
            <v>0</v>
          </cell>
        </row>
      </sheetData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_luong&amp;pc"/>
      <sheetName val="Heso"/>
      <sheetName val="DM_nhanvien"/>
      <sheetName val="Sonoivu"/>
      <sheetName val="GRDT_lbc"/>
      <sheetName val="GRDT_lhd"/>
      <sheetName val="Chiluong"/>
      <sheetName val="Baohiem_bc"/>
      <sheetName val="Baohiem_hd"/>
      <sheetName val="Congdoan_bc"/>
      <sheetName val="Congdoan_hd"/>
      <sheetName val="Bangke"/>
      <sheetName val="Bangluong_bc"/>
      <sheetName val="Bangluong_hddh"/>
      <sheetName val="Bangluong_hd68"/>
    </sheetNames>
    <sheetDataSet>
      <sheetData sheetId="0"/>
      <sheetData sheetId="1" refreshError="1">
        <row r="2">
          <cell r="B2">
            <v>1300000</v>
          </cell>
        </row>
        <row r="4">
          <cell r="C4">
            <v>0.08</v>
          </cell>
          <cell r="D4">
            <v>0.17499999999999999</v>
          </cell>
        </row>
        <row r="5">
          <cell r="C5">
            <v>1.4999999999999999E-2</v>
          </cell>
          <cell r="D5">
            <v>0.03</v>
          </cell>
        </row>
        <row r="6">
          <cell r="C6">
            <v>0.01</v>
          </cell>
          <cell r="D6">
            <v>0.01</v>
          </cell>
        </row>
        <row r="7">
          <cell r="D7">
            <v>0.02</v>
          </cell>
        </row>
        <row r="12">
          <cell r="B12" t="str">
            <v>Tây Ninh, ngày…………..tháng 01 năm 2018</v>
          </cell>
        </row>
        <row r="13">
          <cell r="B13" t="str">
            <v>Tháng 01 năm 2018</v>
          </cell>
        </row>
        <row r="14">
          <cell r="B14" t="str">
            <v>Nguyễn Thị Thu Lan</v>
          </cell>
        </row>
        <row r="16">
          <cell r="B16" t="str">
            <v>Nguyễn Văn Cường</v>
          </cell>
        </row>
        <row r="18">
          <cell r="B18" t="str">
            <v>Châu Văn Văn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7">
          <cell r="O7">
            <v>9.3908000000000005</v>
          </cell>
        </row>
        <row r="38">
          <cell r="O38">
            <v>124.15</v>
          </cell>
        </row>
      </sheetData>
      <sheetData sheetId="13" refreshError="1">
        <row r="18">
          <cell r="O18">
            <v>30.860000000000007</v>
          </cell>
        </row>
      </sheetData>
      <sheetData sheetId="14" refreshError="1">
        <row r="15">
          <cell r="O15">
            <v>20.279999999999998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hanvien"/>
      <sheetName val="Bacluongchuyenmon"/>
      <sheetName val="Luong_Hopdongchuyenmon"/>
      <sheetName val="Danhsach"/>
      <sheetName val="Dukienchuyenluong"/>
      <sheetName val="Hethong"/>
      <sheetName val="Thamchieu"/>
      <sheetName val="Luong_Sonoivu"/>
      <sheetName val="Tinhluong_13"/>
      <sheetName val="Tinhluong_12"/>
      <sheetName val="Mau_48"/>
      <sheetName val="Mau_49"/>
      <sheetName val="Tonghop"/>
      <sheetName val="Kp_Tuchu"/>
      <sheetName val="Kp_Tuchu_13"/>
      <sheetName val="Kp_Tuchu_14"/>
      <sheetName val="Luong_Bienche_13"/>
      <sheetName val="Luong_Hopdong_68_13"/>
      <sheetName val="Sheet1"/>
      <sheetName val="Kp_Khongtuchu"/>
      <sheetName val="Kp_Khongtuchu_12"/>
      <sheetName val="Kp_Khongtuchu_14"/>
      <sheetName val="Kp_Khongtuchu_Moitruong"/>
      <sheetName val="Kp_Khongtuchu_Bvr"/>
      <sheetName val="Luong_Hopdong_68_12"/>
      <sheetName val="Kp_Khongtuchu_Dang"/>
      <sheetName val="Kp_Hotro"/>
      <sheetName val="Sheet9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 t="str">
            <v>ỦY BAN NHÂN DÂN TỈNH TÂY NINH</v>
          </cell>
        </row>
        <row r="5">
          <cell r="C5" t="str">
            <v>BAN QUẢN LÝ VƯỜN QUỐC GIA LÒ GÒ - XA MÁT</v>
          </cell>
        </row>
        <row r="7">
          <cell r="C7" t="str">
            <v>CỘNG HÒA XÃ HỘI CHỦ NGHĨA VIỆT NAM</v>
          </cell>
        </row>
        <row r="8">
          <cell r="C8" t="str">
            <v>Độc lập - Tự do - Hạnh phúc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g hop"/>
      <sheetName val="13"/>
      <sheetName val="12"/>
      <sheetName val="TM13TX"/>
      <sheetName val="TM13TXVP"/>
      <sheetName val="TM13TXTT"/>
      <sheetName val="TM13TXHKL"/>
      <sheetName val="TM12-TX"/>
      <sheetName val="TM12-MT"/>
      <sheetName val="TM12-Dang"/>
      <sheetName val="TM12-BVR-1"/>
      <sheetName val="TM12BVR-2"/>
      <sheetName val="TM12BVR-3"/>
      <sheetName val="PCCR"/>
      <sheetName val="nhanvien"/>
      <sheetName val="Luong_BC"/>
      <sheetName val="Luong_DH"/>
      <sheetName val="Khoanviec"/>
      <sheetName val="Luong VV"/>
      <sheetName val="Tro cap 116"/>
      <sheetName val="Dang phi (2)"/>
      <sheetName val="Dang phi"/>
      <sheetName val="TH_LUONG"/>
      <sheetName val="CK_TL"/>
      <sheetName val="CK_BH"/>
      <sheetName val="KP_CD"/>
      <sheetName val="MẪU C13-TT LUONG"/>
      <sheetName val="BANG KÊ"/>
      <sheetName val="donvi"/>
      <sheetName val="heso"/>
      <sheetName val="bacluong"/>
      <sheetName val="chucvu"/>
      <sheetName val="vuotkhung"/>
      <sheetName val="khuvuc"/>
      <sheetName val="thamniennghe"/>
      <sheetName val="dochai"/>
      <sheetName val="uudainghe"/>
      <sheetName val="trachnhiem"/>
      <sheetName val="phukienhopdong"/>
      <sheetName val="kiemnhiem"/>
      <sheetName val="PC116-70"/>
      <sheetName val="PC116-50-70-100"/>
      <sheetName val="Tham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0">
          <cell r="F30">
            <v>7739519.9999999991</v>
          </cell>
        </row>
      </sheetData>
      <sheetData sheetId="25" refreshError="1">
        <row r="6">
          <cell r="F6">
            <v>483719.99999999994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queryTables/queryTable1.xml><?xml version="1.0" encoding="utf-8"?>
<queryTable xmlns="http://schemas.openxmlformats.org/spreadsheetml/2006/main" name="DD0130040_1745" connectionId="172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D0130040_970" connectionId="1778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DD0130040_2072" connectionId="862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name="DD0130040_1472" connectionId="1242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name="DD0130040_1506" connectionId="1205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name="DD0130040_705" connectionId="149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name="DD0130040_1387" connectionId="1337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name="DD0130040_2002" connectionId="784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name="DD0130040_2013" connectionId="797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name="DD0130040_1565" connectionId="1139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name="DD0130040_1833" connectionId="1157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name="DD0130040_593" connectionId="273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name="DD0130040_1301" connectionId="1432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DD0130040_854" connectionId="954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name="DD0130040_497" connectionId="379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name="DD0130040_729" connectionId="121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name="DD0130040_1162" connectionId="1586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name="DD0130040_1821" connectionId="678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name="DD0130040_1786" connectionId="1270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name="DD0130040_1010" connectionId="11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name="DD0130040_1517" connectionId="1193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name="DD0130040_1447" connectionId="1271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name="DD0130040_1311" connectionId="1421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name="DD0130040_881" connectionId="1679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DD0130040_308" connectionId="589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name="DD0130040_1650" connectionId="910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name="DD0130040_1128" connectionId="1624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name="DD0130040_757" connectionId="90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name="DD0130040_746" connectionId="103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name="DD0130040_1209" connectionId="1534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name="DD0130040_1771" connectionId="1436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name="DD0130040_827" connectionId="984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name="DD0130040_1572" connectionId="1131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name="DD0130040_563" connectionId="306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name="DD0130040_1021" connectionId="24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DD0130040_2067" connectionId="856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name="DD0130040_753" connectionId="95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name="DD0130040_542" connectionId="329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name="DD0130040_2024" connectionId="809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name="DD0130040_438" connectionId="444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name="DD0130040_1379" connectionId="1345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name="DD0130040_1782" connectionId="1314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name="DD0130040_383" connectionId="506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name="DD0130040_1521" connectionId="1188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name="DD0130040_1061" connectionId="68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name="DD0130040_463" connectionId="417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DD0130040_1924" connectionId="698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name="DD0130040_880" connectionId="1678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name="DD0130040_1882" connectionId="651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name="DD0130040_1403" connectionId="1319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name="DD0130040_491" connectionId="386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name="DD0130040_1594" connectionId="1107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name="DD0130040_783" connectionId="1032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name="DD0130040_1762" connectionId="1536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name="DD0130040_816" connectionId="996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name="DD0130040_1818" connectionId="914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name="DD0130040_354" connectionId="538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DD0130040_1258" connectionId="1479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name="DD0130040_800" connectionId="1013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name="DD0130040_464" connectionId="416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name="DD0130040_1155" connectionId="1594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name="DD0130040_2030" connectionId="816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name="DD0130040_1849" connectionId="615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name="DD0130040_486" connectionId="392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name="DD0130040_905" connectionId="1706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name="DD0130040_1481" connectionId="1232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name="DD0130040_1651" connectionId="909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name="DD0130040_1703" connectionId="380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DD0130040_626" connectionId="237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name="DD0130040_982" connectionId="1792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name="DD0130040_1584" connectionId="1118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name="DD0130040_1309" connectionId="1423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name="DD0130040_1323" connectionId="1408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name="DD0130040_1133" connectionId="1619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name="DD0130040_1005" connectionId="6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name="DD0130040_1016" connectionId="19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name="DD0130040_744" connectionId="105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name="DD0130040_1977" connectionId="756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name="DD0130040_2104" connectionId="897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DD0130040_681" connectionId="175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name="DD0130040_1161" connectionId="1587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name="DD0130040_1159" connectionId="1589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name="DD0130040_1589" connectionId="1112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name="DD0130040_1427" connectionId="1293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name="DD0130040_1700" connectionId="413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name="DD0130040_1027" connectionId="31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name="DD0130040_1032" connectionId="37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name="DD0130040_1253" connectionId="1485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name="DD0130040_1855" connectionId="621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name="DD0130040_2004" connectionId="786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DD0130040_1686" connectionId="569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name="DD0130040_1400" connectionId="1322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name="DD0130040_1039" connectionId="44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name="DD0130040_439" connectionId="443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name="DD0130040_1890" connectionId="660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name="DD0130040_821" connectionId="990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name="DD0130040_2093" connectionId="885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name="DD0130040_1065" connectionId="73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name="DD0130040_1781" connectionId="1325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name="DD0130040_1543" connectionId="1164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name="DD0130040_839" connectionId="971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DD0130040_1761" connectionId="1547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name="DD0130040_1808" connectionId="1025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name="DD0130040_488" connectionId="389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name="DD0130040_934" connectionId="1739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name="DD0130040_1843" connectionId="608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name="DD0130040_2078" connectionId="869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name="DD0130040_1225" connectionId="1517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name="DD0130040_1103" connectionId="1652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name="DD0130040_1776" connectionId="1381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name="DD0130040_325" connectionId="571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name="DD0130040_658" connectionId="200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DD0130040_436" connectionId="447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DD0130040_591" connectionId="275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name="DD0130040_1199" connectionId="1545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name="DD0130040_1887" connectionId="656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name="DD0130040_1192" connectionId="1553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name="DD0130040_787" connectionId="1028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name="DD0130040_815" connectionId="997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name="DD0130040_1413" connectionId="1308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name="DD0130040_972" connectionId="1781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name="DD0130040_1966" connectionId="744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name="DD0130040_580" connectionId="287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name="DD0130040_908" connectionId="1709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DD0130040_1476" connectionId="1238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name="DD0130040_1834" connectionId="1046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name="DD0130040_688" connectionId="167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name="DD0130040_1713" connectionId="269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name="DD0130040_1958" connectionId="736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name="DD0130040_912" connectionId="1715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name="DD0130040_737" connectionId="112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name="DD0130040_1045" connectionId="51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name="DD0130040_931" connectionId="1735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name="DD0130040_1727" connectionId="113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name="DD0130040_538" connectionId="333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DD0130040_1979" connectionId="759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name="DD0130040_1205" connectionId="1539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name="DD0130040_796" connectionId="1018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name="DD0130040_1052" connectionId="59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name="DD0130040_1382" connectionId="1342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name="DD0130040_817" connectionId="995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name="DD0130040_1307" connectionId="1426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name="DD0130040_657" connectionId="201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name="DD0130040_1449" connectionId="1267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name="DD0130040_1507" connectionId="1204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name="DD0130040_1497" connectionId="1215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DD0130040_1361" connectionId="1365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name="DD0130040_473" connectionId="406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name="DD0130040_1261" connectionId="1476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name="DD0130040_1444" connectionId="1274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name="DD0130040_764" connectionId="1054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name="DD0130040_630" connectionId="231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name="DD0130040_2060" connectionId="849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name="DD0130040_1665" connectionId="802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name="DD0130040_981" connectionId="1790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name="DD0130040_834" connectionId="976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name="DD0130040_1691" connectionId="513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DD0130040_929" connectionId="1733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name="DD0130040_1943" connectionId="719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name="DD0130040_672" connectionId="185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name="DD0130040_1707" connectionId="335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name="DD0130040_1421" connectionId="1299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name="DD0130040_413" connectionId="473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name="DD0130040_1441" connectionId="1277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name="DD0130040_2053" connectionId="841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name="DD0130040_894" connectionId="1694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name="DD0130040_1536" connectionId="1172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name="DD0130040_1666" connectionId="791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DD0130040_879" connectionId="1677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name="DD0130040_890" connectionId="1689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name="DD0130040_976" connectionId="1785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name="DD0130040_572" connectionId="296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name="DD0130040_1866" connectionId="633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name="DD0130040_994" connectionId="1805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name="DD0130040_872" connectionId="933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name="DD0130040_350" connectionId="542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name="DD0130040_987" connectionId="1797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name="DD0130040_1119" connectionId="1634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name="DD0130040_782" connectionId="1033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DD0130040_476" connectionId="403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name="DD0130040_366" connectionId="525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name="DD0130040_1433" connectionId="1286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name="DD0130040_519" connectionId="355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name="DD0130040_1975" connectionId="754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name="DD0130040_1454" connectionId="1262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name="DD0130040_957" connectionId="1764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name="DD0130040_1978" connectionId="758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name="DD0130040_1242" connectionId="1498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name="DD0130040_1443" connectionId="1275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name="DD0130040_2101" connectionId="894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DD0130040_1621" connectionId="1077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name="DD0130040_1099" connectionId="1656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name="DD0130040_870" connectionId="936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name="DD0130040_477" connectionId="401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name="DD0130040_1859" connectionId="626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name="DD0130040_607" connectionId="257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name="DD0130040_624" connectionId="239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name="DD0130040_317" connectionId="579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name="DD0130040_315" connectionId="582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name="DD0130040_760" connectionId="1058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name="DD0130040_1590" connectionId="1111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DD0130040_1230" connectionId="1511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name="DD0130040_2017" connectionId="801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name="DD0130040_1383" connectionId="1341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name="DD0130040_1672" connectionId="724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name="DD0130040_1233" connectionId="1508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name="DD0130040_1603" connectionId="1097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name="DD0130040_1485" connectionId="1228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name="DD0130040_750" connectionId="98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name="DD0130040_1631" connectionId="1066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name="DD0130040_1800" connectionId="1114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name="DD0130040_754" connectionId="94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DD0130040_1346" connectionId="1383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name="DD0130040_1539" connectionId="1168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name="DD0130040_914" connectionId="1717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name="DD0130040_654" connectionId="205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name="DD0130040_1756" connectionId="1603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name="DD0130040_1042" connectionId="48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name="DD0130040_1338" connectionId="1391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name="DD0130040_756" connectionId="92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name="DD0130040_698" connectionId="156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name="DD0130040_2042" connectionId="829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name="DD0130040_1956" connectionId="73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DD0130040_832" connectionId="978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DD0130040_1863" connectionId="630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name="DD0130040_387" connectionId="501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name="DD0130040_1523" connectionId="1186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name="DD0130040_1780" connectionId="1336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name="DD0130040_1809" connectionId="1014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name="DD0130040_653" connectionId="206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name="DD0130040_1501" connectionId="1210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name="DD0130040_851" connectionId="957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name="DD0130040_869" connectionId="938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name="DD0130040_805" connectionId="1008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name="DD0130040_1702" connectionId="391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DD0130040_1402" connectionId="1320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name="DD0130040_963" connectionId="1771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name="DD0130040_709" connectionId="144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name="DD0130040_369" connectionId="521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name="DD0130040_1218" connectionId="1524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name="DD0130040_1998" connectionId="780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name="DD0130040_1779" connectionId="1347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name="DD0130040_433" connectionId="450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name="DD0130040_1385" connectionId="1339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name="DD0130040_544" connectionId="327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name="DD0130040_813" connectionId="999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DD0130040_2003" connectionId="785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name="DD0130040_819" connectionId="993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name="DD0130040_322" connectionId="574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name="DD0130040_1946" connectionId="722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name="DD0130040_1913" connectionId="686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name="DD0130040_2065" connectionId="854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name="DD0130040_1960" connectionId="738" autoFormatId="16" applyNumberFormats="0" applyBorderFormats="0" applyFontFormats="1" applyPatternFormats="1" applyAlignmentFormats="0" applyWidthHeightFormats="0"/>
</file>

<file path=xl/queryTables/queryTable1226.xml><?xml version="1.0" encoding="utf-8"?>
<queryTable xmlns="http://schemas.openxmlformats.org/spreadsheetml/2006/main" name="DD0130040_1086" connectionId="1671" autoFormatId="16" applyNumberFormats="0" applyBorderFormats="0" applyFontFormats="1" applyPatternFormats="1" applyAlignmentFormats="0" applyWidthHeightFormats="0"/>
</file>

<file path=xl/queryTables/queryTable1227.xml><?xml version="1.0" encoding="utf-8"?>
<queryTable xmlns="http://schemas.openxmlformats.org/spreadsheetml/2006/main" name="DD0130040_409" connectionId="477" autoFormatId="16" applyNumberFormats="0" applyBorderFormats="0" applyFontFormats="1" applyPatternFormats="1" applyAlignmentFormats="0" applyWidthHeightFormats="0"/>
</file>

<file path=xl/queryTables/queryTable1228.xml><?xml version="1.0" encoding="utf-8"?>
<queryTable xmlns="http://schemas.openxmlformats.org/spreadsheetml/2006/main" name="DD0130040_1563" connectionId="1141" autoFormatId="16" applyNumberFormats="0" applyBorderFormats="0" applyFontFormats="1" applyPatternFormats="1" applyAlignmentFormats="0" applyWidthHeightFormats="0"/>
</file>

<file path=xl/queryTables/queryTable1229.xml><?xml version="1.0" encoding="utf-8"?>
<queryTable xmlns="http://schemas.openxmlformats.org/spreadsheetml/2006/main" name="DD0130040_2087" connectionId="878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DD0130040_1581" connectionId="1121" autoFormatId="16" applyNumberFormats="0" applyBorderFormats="0" applyFontFormats="1" applyPatternFormats="1" applyAlignmentFormats="0" applyWidthHeightFormats="0"/>
</file>

<file path=xl/queryTables/queryTable1230.xml><?xml version="1.0" encoding="utf-8"?>
<queryTable xmlns="http://schemas.openxmlformats.org/spreadsheetml/2006/main" name="DD0130040_1344" connectionId="1385" autoFormatId="16" applyNumberFormats="0" applyBorderFormats="0" applyFontFormats="1" applyPatternFormats="1" applyAlignmentFormats="0" applyWidthHeightFormats="0"/>
</file>

<file path=xl/queryTables/queryTable1231.xml><?xml version="1.0" encoding="utf-8"?>
<queryTable xmlns="http://schemas.openxmlformats.org/spreadsheetml/2006/main" name="DD0130040_418" connectionId="467" autoFormatId="16" applyNumberFormats="0" applyBorderFormats="0" applyFontFormats="1" applyPatternFormats="1" applyAlignmentFormats="0" applyWidthHeightFormats="0"/>
</file>

<file path=xl/queryTables/queryTable1232.xml><?xml version="1.0" encoding="utf-8"?>
<queryTable xmlns="http://schemas.openxmlformats.org/spreadsheetml/2006/main" name="DD0130040_481" connectionId="397" autoFormatId="16" applyNumberFormats="0" applyBorderFormats="0" applyFontFormats="1" applyPatternFormats="1" applyAlignmentFormats="0" applyWidthHeightFormats="0"/>
</file>

<file path=xl/queryTables/queryTable1233.xml><?xml version="1.0" encoding="utf-8"?>
<queryTable xmlns="http://schemas.openxmlformats.org/spreadsheetml/2006/main" name="DD0130040_627" connectionId="235" autoFormatId="16" applyNumberFormats="0" applyBorderFormats="0" applyFontFormats="1" applyPatternFormats="1" applyAlignmentFormats="0" applyWidthHeightFormats="0"/>
</file>

<file path=xl/queryTables/queryTable1234.xml><?xml version="1.0" encoding="utf-8"?>
<queryTable xmlns="http://schemas.openxmlformats.org/spreadsheetml/2006/main" name="DD0130040_1571" connectionId="1132" autoFormatId="16" applyNumberFormats="0" applyBorderFormats="0" applyFontFormats="1" applyPatternFormats="1" applyAlignmentFormats="0" applyWidthHeightFormats="0"/>
</file>

<file path=xl/queryTables/queryTable1235.xml><?xml version="1.0" encoding="utf-8"?>
<queryTable xmlns="http://schemas.openxmlformats.org/spreadsheetml/2006/main" name="DD0130040_1912" connectionId="685" autoFormatId="16" applyNumberFormats="0" applyBorderFormats="0" applyFontFormats="1" applyPatternFormats="1" applyAlignmentFormats="0" applyWidthHeightFormats="0"/>
</file>

<file path=xl/queryTables/queryTable1236.xml><?xml version="1.0" encoding="utf-8"?>
<queryTable xmlns="http://schemas.openxmlformats.org/spreadsheetml/2006/main" name="DD0130040_1893" connectionId="663" autoFormatId="16" applyNumberFormats="0" applyBorderFormats="0" applyFontFormats="1" applyPatternFormats="1" applyAlignmentFormats="0" applyWidthHeightFormats="0"/>
</file>

<file path=xl/queryTables/queryTable1237.xml><?xml version="1.0" encoding="utf-8"?>
<queryTable xmlns="http://schemas.openxmlformats.org/spreadsheetml/2006/main" name="DD0130040_984" connectionId="1794" autoFormatId="16" applyNumberFormats="0" applyBorderFormats="0" applyFontFormats="1" applyPatternFormats="1" applyAlignmentFormats="0" applyWidthHeightFormats="0"/>
</file>

<file path=xl/queryTables/queryTable1238.xml><?xml version="1.0" encoding="utf-8"?>
<queryTable xmlns="http://schemas.openxmlformats.org/spreadsheetml/2006/main" name="DD0130040_1807" connectionId="1036" autoFormatId="16" applyNumberFormats="0" applyBorderFormats="0" applyFontFormats="1" applyPatternFormats="1" applyAlignmentFormats="0" applyWidthHeightFormats="0"/>
</file>

<file path=xl/queryTables/queryTable1239.xml><?xml version="1.0" encoding="utf-8"?>
<queryTable xmlns="http://schemas.openxmlformats.org/spreadsheetml/2006/main" name="DD0130040_1853" connectionId="619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DD0130040_1411" connectionId="1310" autoFormatId="16" applyNumberFormats="0" applyBorderFormats="0" applyFontFormats="1" applyPatternFormats="1" applyAlignmentFormats="0" applyWidthHeightFormats="0"/>
</file>

<file path=xl/queryTables/queryTable1240.xml><?xml version="1.0" encoding="utf-8"?>
<queryTable xmlns="http://schemas.openxmlformats.org/spreadsheetml/2006/main" name="DD0130040_1895" connectionId="665" autoFormatId="16" applyNumberFormats="0" applyBorderFormats="0" applyFontFormats="1" applyPatternFormats="1" applyAlignmentFormats="0" applyWidthHeightFormats="0"/>
</file>

<file path=xl/queryTables/queryTable1241.xml><?xml version="1.0" encoding="utf-8"?>
<queryTable xmlns="http://schemas.openxmlformats.org/spreadsheetml/2006/main" name="DD0130040_1320" connectionId="1411" autoFormatId="16" applyNumberFormats="0" applyBorderFormats="0" applyFontFormats="1" applyPatternFormats="1" applyAlignmentFormats="0" applyWidthHeightFormats="0"/>
</file>

<file path=xl/queryTables/queryTable1242.xml><?xml version="1.0" encoding="utf-8"?>
<queryTable xmlns="http://schemas.openxmlformats.org/spreadsheetml/2006/main" name="DD0130040_1377" connectionId="1348" autoFormatId="16" applyNumberFormats="0" applyBorderFormats="0" applyFontFormats="1" applyPatternFormats="1" applyAlignmentFormats="0" applyWidthHeightFormats="0"/>
</file>

<file path=xl/queryTables/queryTable1243.xml><?xml version="1.0" encoding="utf-8"?>
<queryTable xmlns="http://schemas.openxmlformats.org/spreadsheetml/2006/main" name="DD0130040_1080" connectionId="89" autoFormatId="16" applyNumberFormats="0" applyBorderFormats="0" applyFontFormats="1" applyPatternFormats="1" applyAlignmentFormats="0" applyWidthHeightFormats="0"/>
</file>

<file path=xl/queryTables/queryTable1244.xml><?xml version="1.0" encoding="utf-8"?>
<queryTable xmlns="http://schemas.openxmlformats.org/spreadsheetml/2006/main" name="DD0130040_335" connectionId="559" autoFormatId="16" applyNumberFormats="0" applyBorderFormats="0" applyFontFormats="1" applyPatternFormats="1" applyAlignmentFormats="0" applyWidthHeightFormats="0"/>
</file>

<file path=xl/queryTables/queryTable1245.xml><?xml version="1.0" encoding="utf-8"?>
<queryTable xmlns="http://schemas.openxmlformats.org/spreadsheetml/2006/main" name="DD0130040_1856" connectionId="622" autoFormatId="16" applyNumberFormats="0" applyBorderFormats="0" applyFontFormats="1" applyPatternFormats="1" applyAlignmentFormats="0" applyWidthHeightFormats="0"/>
</file>

<file path=xl/queryTables/queryTable1246.xml><?xml version="1.0" encoding="utf-8"?>
<queryTable xmlns="http://schemas.openxmlformats.org/spreadsheetml/2006/main" name="DD0130040_1166" connectionId="1582" autoFormatId="16" applyNumberFormats="0" applyBorderFormats="0" applyFontFormats="1" applyPatternFormats="1" applyAlignmentFormats="0" applyWidthHeightFormats="0"/>
</file>

<file path=xl/queryTables/queryTable1247.xml><?xml version="1.0" encoding="utf-8"?>
<queryTable xmlns="http://schemas.openxmlformats.org/spreadsheetml/2006/main" name="DD0130040_1079" connectionId="88" autoFormatId="16" applyNumberFormats="0" applyBorderFormats="0" applyFontFormats="1" applyPatternFormats="1" applyAlignmentFormats="0" applyWidthHeightFormats="0"/>
</file>

<file path=xl/queryTables/queryTable1248.xml><?xml version="1.0" encoding="utf-8"?>
<queryTable xmlns="http://schemas.openxmlformats.org/spreadsheetml/2006/main" name="DD0130040_460" connectionId="420" autoFormatId="16" applyNumberFormats="0" applyBorderFormats="0" applyFontFormats="1" applyPatternFormats="1" applyAlignmentFormats="0" applyWidthHeightFormats="0"/>
</file>

<file path=xl/queryTables/queryTable1249.xml><?xml version="1.0" encoding="utf-8"?>
<queryTable xmlns="http://schemas.openxmlformats.org/spreadsheetml/2006/main" name="DD0130040_606" connectionId="259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DD0130040_651" connectionId="208" autoFormatId="16" applyNumberFormats="0" applyBorderFormats="0" applyFontFormats="1" applyPatternFormats="1" applyAlignmentFormats="0" applyWidthHeightFormats="0"/>
</file>

<file path=xl/queryTables/queryTable1250.xml><?xml version="1.0" encoding="utf-8"?>
<queryTable xmlns="http://schemas.openxmlformats.org/spreadsheetml/2006/main" name="DD0130040_1967" connectionId="745" autoFormatId="16" applyNumberFormats="0" applyBorderFormats="0" applyFontFormats="1" applyPatternFormats="1" applyAlignmentFormats="0" applyWidthHeightFormats="0"/>
</file>

<file path=xl/queryTables/queryTable1251.xml><?xml version="1.0" encoding="utf-8"?>
<queryTable xmlns="http://schemas.openxmlformats.org/spreadsheetml/2006/main" name="DD0130040_884" connectionId="1683" autoFormatId="16" applyNumberFormats="0" applyBorderFormats="0" applyFontFormats="1" applyPatternFormats="1" applyAlignmentFormats="0" applyWidthHeightFormats="0"/>
</file>

<file path=xl/queryTables/queryTable1252.xml><?xml version="1.0" encoding="utf-8"?>
<queryTable xmlns="http://schemas.openxmlformats.org/spreadsheetml/2006/main" name="DD0130040_1465" connectionId="1250" autoFormatId="16" applyNumberFormats="0" applyBorderFormats="0" applyFontFormats="1" applyPatternFormats="1" applyAlignmentFormats="0" applyWidthHeightFormats="0"/>
</file>

<file path=xl/queryTables/queryTable1253.xml><?xml version="1.0" encoding="utf-8"?>
<queryTable xmlns="http://schemas.openxmlformats.org/spreadsheetml/2006/main" name="DD0130040_745" connectionId="104" autoFormatId="16" applyNumberFormats="0" applyBorderFormats="0" applyFontFormats="1" applyPatternFormats="1" applyAlignmentFormats="0" applyWidthHeightFormats="0"/>
</file>

<file path=xl/queryTables/queryTable1254.xml><?xml version="1.0" encoding="utf-8"?>
<queryTable xmlns="http://schemas.openxmlformats.org/spreadsheetml/2006/main" name="DD0130040_752" connectionId="96" autoFormatId="16" applyNumberFormats="0" applyBorderFormats="0" applyFontFormats="1" applyPatternFormats="1" applyAlignmentFormats="0" applyWidthHeightFormats="0"/>
</file>

<file path=xl/queryTables/queryTable1255.xml><?xml version="1.0" encoding="utf-8"?>
<queryTable xmlns="http://schemas.openxmlformats.org/spreadsheetml/2006/main" name="DD0130040_1484" connectionId="1229" autoFormatId="16" applyNumberFormats="0" applyBorderFormats="0" applyFontFormats="1" applyPatternFormats="1" applyAlignmentFormats="0" applyWidthHeightFormats="0"/>
</file>

<file path=xl/queryTables/queryTable1256.xml><?xml version="1.0" encoding="utf-8"?>
<queryTable xmlns="http://schemas.openxmlformats.org/spreadsheetml/2006/main" name="DD0130040_599" connectionId="266" autoFormatId="16" applyNumberFormats="0" applyBorderFormats="0" applyFontFormats="1" applyPatternFormats="1" applyAlignmentFormats="0" applyWidthHeightFormats="0"/>
</file>

<file path=xl/queryTables/queryTable1257.xml><?xml version="1.0" encoding="utf-8"?>
<queryTable xmlns="http://schemas.openxmlformats.org/spreadsheetml/2006/main" name="DD0130040_993" connectionId="1804" autoFormatId="16" applyNumberFormats="0" applyBorderFormats="0" applyFontFormats="1" applyPatternFormats="1" applyAlignmentFormats="0" applyWidthHeightFormats="0"/>
</file>

<file path=xl/queryTables/queryTable1258.xml><?xml version="1.0" encoding="utf-8"?>
<queryTable xmlns="http://schemas.openxmlformats.org/spreadsheetml/2006/main" name="DD0130040_1694" connectionId="480" autoFormatId="16" applyNumberFormats="0" applyBorderFormats="0" applyFontFormats="1" applyPatternFormats="1" applyAlignmentFormats="0" applyWidthHeightFormats="0"/>
</file>

<file path=xl/queryTables/queryTable1259.xml><?xml version="1.0" encoding="utf-8"?>
<queryTable xmlns="http://schemas.openxmlformats.org/spreadsheetml/2006/main" name="DD0130040_1980" connectionId="760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DD0130040_531" connectionId="341" autoFormatId="16" applyNumberFormats="0" applyBorderFormats="0" applyFontFormats="1" applyPatternFormats="1" applyAlignmentFormats="0" applyWidthHeightFormats="0"/>
</file>

<file path=xl/queryTables/queryTable1260.xml><?xml version="1.0" encoding="utf-8"?>
<queryTable xmlns="http://schemas.openxmlformats.org/spreadsheetml/2006/main" name="DD0130040_2008" connectionId="792" autoFormatId="16" applyNumberFormats="0" applyBorderFormats="0" applyFontFormats="1" applyPatternFormats="1" applyAlignmentFormats="0" applyWidthHeightFormats="0"/>
</file>

<file path=xl/queryTables/queryTable1261.xml><?xml version="1.0" encoding="utf-8"?>
<queryTable xmlns="http://schemas.openxmlformats.org/spreadsheetml/2006/main" name="DD0130040_799" connectionId="1015" autoFormatId="16" applyNumberFormats="0" applyBorderFormats="0" applyFontFormats="1" applyPatternFormats="1" applyAlignmentFormats="0" applyWidthHeightFormats="0"/>
</file>

<file path=xl/queryTables/queryTable1262.xml><?xml version="1.0" encoding="utf-8"?>
<queryTable xmlns="http://schemas.openxmlformats.org/spreadsheetml/2006/main" name="DD0130040_704" connectionId="150" autoFormatId="16" applyNumberFormats="0" applyBorderFormats="0" applyFontFormats="1" applyPatternFormats="1" applyAlignmentFormats="0" applyWidthHeightFormats="0"/>
</file>

<file path=xl/queryTables/queryTable1263.xml><?xml version="1.0" encoding="utf-8"?>
<queryTable xmlns="http://schemas.openxmlformats.org/spreadsheetml/2006/main" name="DD0130040_666" connectionId="192" autoFormatId="16" applyNumberFormats="0" applyBorderFormats="0" applyFontFormats="1" applyPatternFormats="1" applyAlignmentFormats="0" applyWidthHeightFormats="0"/>
</file>

<file path=xl/queryTables/queryTable1264.xml><?xml version="1.0" encoding="utf-8"?>
<queryTable xmlns="http://schemas.openxmlformats.org/spreadsheetml/2006/main" name="DD0130040_1492" connectionId="1220" autoFormatId="16" applyNumberFormats="0" applyBorderFormats="0" applyFontFormats="1" applyPatternFormats="1" applyAlignmentFormats="0" applyWidthHeightFormats="0"/>
</file>

<file path=xl/queryTables/queryTable1265.xml><?xml version="1.0" encoding="utf-8"?>
<queryTable xmlns="http://schemas.openxmlformats.org/spreadsheetml/2006/main" name="DD0130040_788" connectionId="1027" autoFormatId="16" applyNumberFormats="0" applyBorderFormats="0" applyFontFormats="1" applyPatternFormats="1" applyAlignmentFormats="0" applyWidthHeightFormats="0"/>
</file>

<file path=xl/queryTables/queryTable1266.xml><?xml version="1.0" encoding="utf-8"?>
<queryTable xmlns="http://schemas.openxmlformats.org/spreadsheetml/2006/main" name="DD0130040_2070" connectionId="860" autoFormatId="16" applyNumberFormats="0" applyBorderFormats="0" applyFontFormats="1" applyPatternFormats="1" applyAlignmentFormats="0" applyWidthHeightFormats="0"/>
</file>

<file path=xl/queryTables/queryTable1267.xml><?xml version="1.0" encoding="utf-8"?>
<queryTable xmlns="http://schemas.openxmlformats.org/spreadsheetml/2006/main" name="DD0130040_357" connectionId="534" autoFormatId="16" applyNumberFormats="0" applyBorderFormats="0" applyFontFormats="1" applyPatternFormats="1" applyAlignmentFormats="0" applyWidthHeightFormats="0"/>
</file>

<file path=xl/queryTables/queryTable1268.xml><?xml version="1.0" encoding="utf-8"?>
<queryTable xmlns="http://schemas.openxmlformats.org/spreadsheetml/2006/main" name="DD0130040_845" connectionId="964" autoFormatId="16" applyNumberFormats="0" applyBorderFormats="0" applyFontFormats="1" applyPatternFormats="1" applyAlignmentFormats="0" applyWidthHeightFormats="0"/>
</file>

<file path=xl/queryTables/queryTable1269.xml><?xml version="1.0" encoding="utf-8"?>
<queryTable xmlns="http://schemas.openxmlformats.org/spreadsheetml/2006/main" name="DD0130040_1146" connectionId="1605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DD0130040_895" connectionId="1695" autoFormatId="16" applyNumberFormats="0" applyBorderFormats="0" applyFontFormats="1" applyPatternFormats="1" applyAlignmentFormats="0" applyWidthHeightFormats="0"/>
</file>

<file path=xl/queryTables/queryTable1270.xml><?xml version="1.0" encoding="utf-8"?>
<queryTable xmlns="http://schemas.openxmlformats.org/spreadsheetml/2006/main" name="DD0130040_792" connectionId="1022" autoFormatId="16" applyNumberFormats="0" applyBorderFormats="0" applyFontFormats="1" applyPatternFormats="1" applyAlignmentFormats="0" applyWidthHeightFormats="0"/>
</file>

<file path=xl/queryTables/queryTable1271.xml><?xml version="1.0" encoding="utf-8"?>
<queryTable xmlns="http://schemas.openxmlformats.org/spreadsheetml/2006/main" name="DD0130040_1742" connectionId="1758" autoFormatId="16" applyNumberFormats="0" applyBorderFormats="0" applyFontFormats="1" applyPatternFormats="1" applyAlignmentFormats="0" applyWidthHeightFormats="0"/>
</file>

<file path=xl/queryTables/queryTable1272.xml><?xml version="1.0" encoding="utf-8"?>
<queryTable xmlns="http://schemas.openxmlformats.org/spreadsheetml/2006/main" name="DD0130040_401" connectionId="486" autoFormatId="16" applyNumberFormats="0" applyBorderFormats="0" applyFontFormats="1" applyPatternFormats="1" applyAlignmentFormats="0" applyWidthHeightFormats="0"/>
</file>

<file path=xl/queryTables/queryTable1273.xml><?xml version="1.0" encoding="utf-8"?>
<queryTable xmlns="http://schemas.openxmlformats.org/spreadsheetml/2006/main" name="DD0130040_304" connectionId="594" autoFormatId="16" applyNumberFormats="0" applyBorderFormats="0" applyFontFormats="1" applyPatternFormats="1" applyAlignmentFormats="0" applyWidthHeightFormats="0"/>
</file>

<file path=xl/queryTables/queryTable1274.xml><?xml version="1.0" encoding="utf-8"?>
<queryTable xmlns="http://schemas.openxmlformats.org/spreadsheetml/2006/main" name="DD0130040_1970" connectionId="749" autoFormatId="16" applyNumberFormats="0" applyBorderFormats="0" applyFontFormats="1" applyPatternFormats="1" applyAlignmentFormats="0" applyWidthHeightFormats="0"/>
</file>

<file path=xl/queryTables/queryTable1275.xml><?xml version="1.0" encoding="utf-8"?>
<queryTable xmlns="http://schemas.openxmlformats.org/spreadsheetml/2006/main" name="DD0130040_2014" connectionId="798" autoFormatId="16" applyNumberFormats="0" applyBorderFormats="0" applyFontFormats="1" applyPatternFormats="1" applyAlignmentFormats="0" applyWidthHeightFormats="0"/>
</file>

<file path=xl/queryTables/queryTable1276.xml><?xml version="1.0" encoding="utf-8"?>
<queryTable xmlns="http://schemas.openxmlformats.org/spreadsheetml/2006/main" name="DD0130040_1801" connectionId="1103" autoFormatId="16" applyNumberFormats="0" applyBorderFormats="0" applyFontFormats="1" applyPatternFormats="1" applyAlignmentFormats="0" applyWidthHeightFormats="0"/>
</file>

<file path=xl/queryTables/queryTable1277.xml><?xml version="1.0" encoding="utf-8"?>
<queryTable xmlns="http://schemas.openxmlformats.org/spreadsheetml/2006/main" name="DD0130040_1831" connectionId="1379" autoFormatId="16" applyNumberFormats="0" applyBorderFormats="0" applyFontFormats="1" applyPatternFormats="1" applyAlignmentFormats="0" applyWidthHeightFormats="0"/>
</file>

<file path=xl/queryTables/queryTable1278.xml><?xml version="1.0" encoding="utf-8"?>
<queryTable xmlns="http://schemas.openxmlformats.org/spreadsheetml/2006/main" name="DD0130040_710" connectionId="143" autoFormatId="16" applyNumberFormats="0" applyBorderFormats="0" applyFontFormats="1" applyPatternFormats="1" applyAlignmentFormats="0" applyWidthHeightFormats="0"/>
</file>

<file path=xl/queryTables/queryTable1279.xml><?xml version="1.0" encoding="utf-8"?>
<queryTable xmlns="http://schemas.openxmlformats.org/spreadsheetml/2006/main" name="DD0130040_586" connectionId="281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DD0130040_1353" connectionId="1374" autoFormatId="16" applyNumberFormats="0" applyBorderFormats="0" applyFontFormats="1" applyPatternFormats="1" applyAlignmentFormats="0" applyWidthHeightFormats="0"/>
</file>

<file path=xl/queryTables/queryTable1280.xml><?xml version="1.0" encoding="utf-8"?>
<queryTable xmlns="http://schemas.openxmlformats.org/spreadsheetml/2006/main" name="DD0130040_1026" connectionId="30" autoFormatId="16" applyNumberFormats="0" applyBorderFormats="0" applyFontFormats="1" applyPatternFormats="1" applyAlignmentFormats="0" applyWidthHeightFormats="0"/>
</file>

<file path=xl/queryTables/queryTable1281.xml><?xml version="1.0" encoding="utf-8"?>
<queryTable xmlns="http://schemas.openxmlformats.org/spreadsheetml/2006/main" name="DD0130040_1785" connectionId="1281" autoFormatId="16" applyNumberFormats="0" applyBorderFormats="0" applyFontFormats="1" applyPatternFormats="1" applyAlignmentFormats="0" applyWidthHeightFormats="0"/>
</file>

<file path=xl/queryTables/queryTable1282.xml><?xml version="1.0" encoding="utf-8"?>
<queryTable xmlns="http://schemas.openxmlformats.org/spreadsheetml/2006/main" name="DD0130040_1937" connectionId="712" autoFormatId="16" applyNumberFormats="0" applyBorderFormats="0" applyFontFormats="1" applyPatternFormats="1" applyAlignmentFormats="0" applyWidthHeightFormats="0"/>
</file>

<file path=xl/queryTables/queryTable1283.xml><?xml version="1.0" encoding="utf-8"?>
<queryTable xmlns="http://schemas.openxmlformats.org/spreadsheetml/2006/main" name="DD0130040_1740" connectionId="1780" autoFormatId="16" applyNumberFormats="0" applyBorderFormats="0" applyFontFormats="1" applyPatternFormats="1" applyAlignmentFormats="0" applyWidthHeightFormats="0"/>
</file>

<file path=xl/queryTables/queryTable1284.xml><?xml version="1.0" encoding="utf-8"?>
<queryTable xmlns="http://schemas.openxmlformats.org/spreadsheetml/2006/main" name="DD0130040_1490" connectionId="1222" autoFormatId="16" applyNumberFormats="0" applyBorderFormats="0" applyFontFormats="1" applyPatternFormats="1" applyAlignmentFormats="0" applyWidthHeightFormats="0"/>
</file>

<file path=xl/queryTables/queryTable1285.xml><?xml version="1.0" encoding="utf-8"?>
<queryTable xmlns="http://schemas.openxmlformats.org/spreadsheetml/2006/main" name="DD0130040_305" connectionId="593" autoFormatId="16" applyNumberFormats="0" applyBorderFormats="0" applyFontFormats="1" applyPatternFormats="1" applyAlignmentFormats="0" applyWidthHeightFormats="0"/>
</file>

<file path=xl/queryTables/queryTable1286.xml><?xml version="1.0" encoding="utf-8"?>
<queryTable xmlns="http://schemas.openxmlformats.org/spreadsheetml/2006/main" name="DD0130040_1322" connectionId="1409" autoFormatId="16" applyNumberFormats="0" applyBorderFormats="0" applyFontFormats="1" applyPatternFormats="1" applyAlignmentFormats="0" applyWidthHeightFormats="0"/>
</file>

<file path=xl/queryTables/queryTable1287.xml><?xml version="1.0" encoding="utf-8"?>
<queryTable xmlns="http://schemas.openxmlformats.org/spreadsheetml/2006/main" name="DD0130040_1861" connectionId="628" autoFormatId="16" applyNumberFormats="0" applyBorderFormats="0" applyFontFormats="1" applyPatternFormats="1" applyAlignmentFormats="0" applyWidthHeightFormats="0"/>
</file>

<file path=xl/queryTables/queryTable1288.xml><?xml version="1.0" encoding="utf-8"?>
<queryTable xmlns="http://schemas.openxmlformats.org/spreadsheetml/2006/main" name="DD0130040_1757" connectionId="1591" autoFormatId="16" applyNumberFormats="0" applyBorderFormats="0" applyFontFormats="1" applyPatternFormats="1" applyAlignmentFormats="0" applyWidthHeightFormats="0"/>
</file>

<file path=xl/queryTables/queryTable1289.xml><?xml version="1.0" encoding="utf-8"?>
<queryTable xmlns="http://schemas.openxmlformats.org/spreadsheetml/2006/main" name="DD0130040_2095" connectionId="887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DD0130040_1186" connectionId="1560" autoFormatId="16" applyNumberFormats="0" applyBorderFormats="0" applyFontFormats="1" applyPatternFormats="1" applyAlignmentFormats="0" applyWidthHeightFormats="0"/>
</file>

<file path=xl/queryTables/queryTable1290.xml><?xml version="1.0" encoding="utf-8"?>
<queryTable xmlns="http://schemas.openxmlformats.org/spreadsheetml/2006/main" name="DD0130040_1270" connectionId="1466" autoFormatId="16" applyNumberFormats="0" applyBorderFormats="0" applyFontFormats="1" applyPatternFormats="1" applyAlignmentFormats="0" applyWidthHeightFormats="0"/>
</file>

<file path=xl/queryTables/queryTable1291.xml><?xml version="1.0" encoding="utf-8"?>
<queryTable xmlns="http://schemas.openxmlformats.org/spreadsheetml/2006/main" name="DD0130040_1852" connectionId="618" autoFormatId="16" applyNumberFormats="0" applyBorderFormats="0" applyFontFormats="1" applyPatternFormats="1" applyAlignmentFormats="0" applyWidthHeightFormats="0"/>
</file>

<file path=xl/queryTables/queryTable1292.xml><?xml version="1.0" encoding="utf-8"?>
<queryTable xmlns="http://schemas.openxmlformats.org/spreadsheetml/2006/main" name="DD0130040_899" connectionId="1699" autoFormatId="16" applyNumberFormats="0" applyBorderFormats="0" applyFontFormats="1" applyPatternFormats="1" applyAlignmentFormats="0" applyWidthHeightFormats="0"/>
</file>

<file path=xl/queryTables/queryTable1293.xml><?xml version="1.0" encoding="utf-8"?>
<queryTable xmlns="http://schemas.openxmlformats.org/spreadsheetml/2006/main" name="DD0130040_1058" connectionId="65" autoFormatId="16" applyNumberFormats="0" applyBorderFormats="0" applyFontFormats="1" applyPatternFormats="1" applyAlignmentFormats="0" applyWidthHeightFormats="0"/>
</file>

<file path=xl/queryTables/queryTable1294.xml><?xml version="1.0" encoding="utf-8"?>
<queryTable xmlns="http://schemas.openxmlformats.org/spreadsheetml/2006/main" name="DD0130040_1959" connectionId="737" autoFormatId="16" applyNumberFormats="0" applyBorderFormats="0" applyFontFormats="1" applyPatternFormats="1" applyAlignmentFormats="0" applyWidthHeightFormats="0"/>
</file>

<file path=xl/queryTables/queryTable1295.xml><?xml version="1.0" encoding="utf-8"?>
<queryTable xmlns="http://schemas.openxmlformats.org/spreadsheetml/2006/main" name="DD0130040_1023" connectionId="27" autoFormatId="16" applyNumberFormats="0" applyBorderFormats="0" applyFontFormats="1" applyPatternFormats="1" applyAlignmentFormats="0" applyWidthHeightFormats="0"/>
</file>

<file path=xl/queryTables/queryTable1296.xml><?xml version="1.0" encoding="utf-8"?>
<queryTable xmlns="http://schemas.openxmlformats.org/spreadsheetml/2006/main" name="DD0130040_2010" connectionId="794" autoFormatId="16" applyNumberFormats="0" applyBorderFormats="0" applyFontFormats="1" applyPatternFormats="1" applyAlignmentFormats="0" applyWidthHeightFormats="0"/>
</file>

<file path=xl/queryTables/queryTable1297.xml><?xml version="1.0" encoding="utf-8"?>
<queryTable xmlns="http://schemas.openxmlformats.org/spreadsheetml/2006/main" name="DD0130040_583" connectionId="284" autoFormatId="16" applyNumberFormats="0" applyBorderFormats="0" applyFontFormats="1" applyPatternFormats="1" applyAlignmentFormats="0" applyWidthHeightFormats="0"/>
</file>

<file path=xl/queryTables/queryTable1298.xml><?xml version="1.0" encoding="utf-8"?>
<queryTable xmlns="http://schemas.openxmlformats.org/spreadsheetml/2006/main" name="DD0130040_445" connectionId="437" autoFormatId="16" applyNumberFormats="0" applyBorderFormats="0" applyFontFormats="1" applyPatternFormats="1" applyAlignmentFormats="0" applyWidthHeightFormats="0"/>
</file>

<file path=xl/queryTables/queryTable1299.xml><?xml version="1.0" encoding="utf-8"?>
<queryTable xmlns="http://schemas.openxmlformats.org/spreadsheetml/2006/main" name="DD0130040_1372" connectionId="135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DD0130040_1482" connectionId="1231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DD0130040_790" connectionId="1024" autoFormatId="16" applyNumberFormats="0" applyBorderFormats="0" applyFontFormats="1" applyPatternFormats="1" applyAlignmentFormats="0" applyWidthHeightFormats="0"/>
</file>

<file path=xl/queryTables/queryTable1300.xml><?xml version="1.0" encoding="utf-8"?>
<queryTable xmlns="http://schemas.openxmlformats.org/spreadsheetml/2006/main" name="DD0130040_1363" connectionId="1363" autoFormatId="16" applyNumberFormats="0" applyBorderFormats="0" applyFontFormats="1" applyPatternFormats="1" applyAlignmentFormats="0" applyWidthHeightFormats="0"/>
</file>

<file path=xl/queryTables/queryTable1301.xml><?xml version="1.0" encoding="utf-8"?>
<queryTable xmlns="http://schemas.openxmlformats.org/spreadsheetml/2006/main" name="DD0130040_495" connectionId="382" autoFormatId="16" applyNumberFormats="0" applyBorderFormats="0" applyFontFormats="1" applyPatternFormats="1" applyAlignmentFormats="0" applyWidthHeightFormats="0"/>
</file>

<file path=xl/queryTables/queryTable1302.xml><?xml version="1.0" encoding="utf-8"?>
<queryTable xmlns="http://schemas.openxmlformats.org/spreadsheetml/2006/main" name="DD0130040_1997" connectionId="778" autoFormatId="16" applyNumberFormats="0" applyBorderFormats="0" applyFontFormats="1" applyPatternFormats="1" applyAlignmentFormats="0" applyWidthHeightFormats="0"/>
</file>

<file path=xl/queryTables/queryTable1303.xml><?xml version="1.0" encoding="utf-8"?>
<queryTable xmlns="http://schemas.openxmlformats.org/spreadsheetml/2006/main" name="DD0130040_1460" connectionId="1255" autoFormatId="16" applyNumberFormats="0" applyBorderFormats="0" applyFontFormats="1" applyPatternFormats="1" applyAlignmentFormats="0" applyWidthHeightFormats="0"/>
</file>

<file path=xl/queryTables/queryTable1304.xml><?xml version="1.0" encoding="utf-8"?>
<queryTable xmlns="http://schemas.openxmlformats.org/spreadsheetml/2006/main" name="DD0130040_629" connectionId="232" autoFormatId="16" applyNumberFormats="0" applyBorderFormats="0" applyFontFormats="1" applyPatternFormats="1" applyAlignmentFormats="0" applyWidthHeightFormats="0"/>
</file>

<file path=xl/queryTables/queryTable1305.xml><?xml version="1.0" encoding="utf-8"?>
<queryTable xmlns="http://schemas.openxmlformats.org/spreadsheetml/2006/main" name="DD0130040_1972" connectionId="751" autoFormatId="16" applyNumberFormats="0" applyBorderFormats="0" applyFontFormats="1" applyPatternFormats="1" applyAlignmentFormats="0" applyWidthHeightFormats="0"/>
</file>

<file path=xl/queryTables/queryTable1306.xml><?xml version="1.0" encoding="utf-8"?>
<queryTable xmlns="http://schemas.openxmlformats.org/spreadsheetml/2006/main" name="DD0130040_1600" connectionId="1100" autoFormatId="16" applyNumberFormats="0" applyBorderFormats="0" applyFontFormats="1" applyPatternFormats="1" applyAlignmentFormats="0" applyWidthHeightFormats="0"/>
</file>

<file path=xl/queryTables/queryTable1307.xml><?xml version="1.0" encoding="utf-8"?>
<queryTable xmlns="http://schemas.openxmlformats.org/spreadsheetml/2006/main" name="DD0130040_1260" connectionId="1477" autoFormatId="16" applyNumberFormats="0" applyBorderFormats="0" applyFontFormats="1" applyPatternFormats="1" applyAlignmentFormats="0" applyWidthHeightFormats="0"/>
</file>

<file path=xl/queryTables/queryTable1308.xml><?xml version="1.0" encoding="utf-8"?>
<queryTable xmlns="http://schemas.openxmlformats.org/spreadsheetml/2006/main" name="DD0130040_1123" connectionId="1630" autoFormatId="16" applyNumberFormats="0" applyBorderFormats="0" applyFontFormats="1" applyPatternFormats="1" applyAlignmentFormats="0" applyWidthHeightFormats="0"/>
</file>

<file path=xl/queryTables/queryTable1309.xml><?xml version="1.0" encoding="utf-8"?>
<queryTable xmlns="http://schemas.openxmlformats.org/spreadsheetml/2006/main" name="DD0130040_904" connectionId="1705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DD0130040_444" connectionId="438" autoFormatId="16" applyNumberFormats="0" applyBorderFormats="0" applyFontFormats="1" applyPatternFormats="1" applyAlignmentFormats="0" applyWidthHeightFormats="0"/>
</file>

<file path=xl/queryTables/queryTable1310.xml><?xml version="1.0" encoding="utf-8"?>
<queryTable xmlns="http://schemas.openxmlformats.org/spreadsheetml/2006/main" name="DD0130040_1051" connectionId="57" autoFormatId="16" applyNumberFormats="0" applyBorderFormats="0" applyFontFormats="1" applyPatternFormats="1" applyAlignmentFormats="0" applyWidthHeightFormats="0"/>
</file>

<file path=xl/queryTables/queryTable1311.xml><?xml version="1.0" encoding="utf-8"?>
<queryTable xmlns="http://schemas.openxmlformats.org/spreadsheetml/2006/main" name="DD0130040_1906" connectionId="677" autoFormatId="16" applyNumberFormats="0" applyBorderFormats="0" applyFontFormats="1" applyPatternFormats="1" applyAlignmentFormats="0" applyWidthHeightFormats="0"/>
</file>

<file path=xl/queryTables/queryTable1312.xml><?xml version="1.0" encoding="utf-8"?>
<queryTable xmlns="http://schemas.openxmlformats.org/spreadsheetml/2006/main" name="DD0130040_1232" connectionId="1509" autoFormatId="16" applyNumberFormats="0" applyBorderFormats="0" applyFontFormats="1" applyPatternFormats="1" applyAlignmentFormats="0" applyWidthHeightFormats="0"/>
</file>

<file path=xl/queryTables/queryTable1313.xml><?xml version="1.0" encoding="utf-8"?>
<queryTable xmlns="http://schemas.openxmlformats.org/spreadsheetml/2006/main" name="DD0130040_1491" connectionId="1221" autoFormatId="16" applyNumberFormats="0" applyBorderFormats="0" applyFontFormats="1" applyPatternFormats="1" applyAlignmentFormats="0" applyWidthHeightFormats="0"/>
</file>

<file path=xl/queryTables/queryTable1314.xml><?xml version="1.0" encoding="utf-8"?>
<queryTable xmlns="http://schemas.openxmlformats.org/spreadsheetml/2006/main" name="DD0130040_1988" connectionId="769" autoFormatId="16" applyNumberFormats="0" applyBorderFormats="0" applyFontFormats="1" applyPatternFormats="1" applyAlignmentFormats="0" applyWidthHeightFormats="0"/>
</file>

<file path=xl/queryTables/queryTable1315.xml><?xml version="1.0" encoding="utf-8"?>
<queryTable xmlns="http://schemas.openxmlformats.org/spreadsheetml/2006/main" name="DD0130040_1741" connectionId="1769" autoFormatId="16" applyNumberFormats="0" applyBorderFormats="0" applyFontFormats="1" applyPatternFormats="1" applyAlignmentFormats="0" applyWidthHeightFormats="0"/>
</file>

<file path=xl/queryTables/queryTable1316.xml><?xml version="1.0" encoding="utf-8"?>
<queryTable xmlns="http://schemas.openxmlformats.org/spreadsheetml/2006/main" name="DD0130040_1777" connectionId="1369" autoFormatId="16" applyNumberFormats="0" applyBorderFormats="0" applyFontFormats="1" applyPatternFormats="1" applyAlignmentFormats="0" applyWidthHeightFormats="0"/>
</file>

<file path=xl/queryTables/queryTable1317.xml><?xml version="1.0" encoding="utf-8"?>
<queryTable xmlns="http://schemas.openxmlformats.org/spreadsheetml/2006/main" name="DD0130040_1557" connectionId="1148" autoFormatId="16" applyNumberFormats="0" applyBorderFormats="0" applyFontFormats="1" applyPatternFormats="1" applyAlignmentFormats="0" applyWidthHeightFormats="0"/>
</file>

<file path=xl/queryTables/queryTable1318.xml><?xml version="1.0" encoding="utf-8"?>
<queryTable xmlns="http://schemas.openxmlformats.org/spreadsheetml/2006/main" name="DD0130040_1081" connectionId="1676" autoFormatId="16" applyNumberFormats="0" applyBorderFormats="0" applyFontFormats="1" applyPatternFormats="1" applyAlignmentFormats="0" applyWidthHeightFormats="0"/>
</file>

<file path=xl/queryTables/queryTable1319.xml><?xml version="1.0" encoding="utf-8"?>
<queryTable xmlns="http://schemas.openxmlformats.org/spreadsheetml/2006/main" name="DD0130040_555" connectionId="315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DD0130040_351" connectionId="541" autoFormatId="16" applyNumberFormats="0" applyBorderFormats="0" applyFontFormats="1" applyPatternFormats="1" applyAlignmentFormats="0" applyWidthHeightFormats="0"/>
</file>

<file path=xl/queryTables/queryTable1320.xml><?xml version="1.0" encoding="utf-8"?>
<queryTable xmlns="http://schemas.openxmlformats.org/spreadsheetml/2006/main" name="DD0130040_789" connectionId="1026" autoFormatId="16" applyNumberFormats="0" applyBorderFormats="0" applyFontFormats="1" applyPatternFormats="1" applyAlignmentFormats="0" applyWidthHeightFormats="0"/>
</file>

<file path=xl/queryTables/queryTable1321.xml><?xml version="1.0" encoding="utf-8"?>
<queryTable xmlns="http://schemas.openxmlformats.org/spreadsheetml/2006/main" name="DD0130040_1936" connectionId="711" autoFormatId="16" applyNumberFormats="0" applyBorderFormats="0" applyFontFormats="1" applyPatternFormats="1" applyAlignmentFormats="0" applyWidthHeightFormats="0"/>
</file>

<file path=xl/queryTables/queryTable1322.xml><?xml version="1.0" encoding="utf-8"?>
<queryTable xmlns="http://schemas.openxmlformats.org/spreadsheetml/2006/main" name="DD0130040_1126" connectionId="1627" autoFormatId="16" applyNumberFormats="0" applyBorderFormats="0" applyFontFormats="1" applyPatternFormats="1" applyAlignmentFormats="0" applyWidthHeightFormats="0"/>
</file>

<file path=xl/queryTables/queryTable1323.xml><?xml version="1.0" encoding="utf-8"?>
<queryTable xmlns="http://schemas.openxmlformats.org/spreadsheetml/2006/main" name="DD0130040_1724" connectionId="147" autoFormatId="16" applyNumberFormats="0" applyBorderFormats="0" applyFontFormats="1" applyPatternFormats="1" applyAlignmentFormats="0" applyWidthHeightFormats="0"/>
</file>

<file path=xl/queryTables/queryTable1324.xml><?xml version="1.0" encoding="utf-8"?>
<queryTable xmlns="http://schemas.openxmlformats.org/spreadsheetml/2006/main" name="DD0130040_649" connectionId="210" autoFormatId="16" applyNumberFormats="0" applyBorderFormats="0" applyFontFormats="1" applyPatternFormats="1" applyAlignmentFormats="0" applyWidthHeightFormats="0"/>
</file>

<file path=xl/queryTables/queryTable1325.xml><?xml version="1.0" encoding="utf-8"?>
<queryTable xmlns="http://schemas.openxmlformats.org/spreadsheetml/2006/main" name="DD0130040_883" connectionId="1682" autoFormatId="16" applyNumberFormats="0" applyBorderFormats="0" applyFontFormats="1" applyPatternFormats="1" applyAlignmentFormats="0" applyWidthHeightFormats="0"/>
</file>

<file path=xl/queryTables/queryTable1326.xml><?xml version="1.0" encoding="utf-8"?>
<queryTable xmlns="http://schemas.openxmlformats.org/spreadsheetml/2006/main" name="DD0130040_1495" connectionId="1217" autoFormatId="16" applyNumberFormats="0" applyBorderFormats="0" applyFontFormats="1" applyPatternFormats="1" applyAlignmentFormats="0" applyWidthHeightFormats="0"/>
</file>

<file path=xl/queryTables/queryTable1327.xml><?xml version="1.0" encoding="utf-8"?>
<queryTable xmlns="http://schemas.openxmlformats.org/spreadsheetml/2006/main" name="DD0130040_1553" connectionId="1152" autoFormatId="16" applyNumberFormats="0" applyBorderFormats="0" applyFontFormats="1" applyPatternFormats="1" applyAlignmentFormats="0" applyWidthHeightFormats="0"/>
</file>

<file path=xl/queryTables/queryTable1328.xml><?xml version="1.0" encoding="utf-8"?>
<queryTable xmlns="http://schemas.openxmlformats.org/spreadsheetml/2006/main" name="DD0130040_319" connectionId="577" autoFormatId="16" applyNumberFormats="0" applyBorderFormats="0" applyFontFormats="1" applyPatternFormats="1" applyAlignmentFormats="0" applyWidthHeightFormats="0"/>
</file>

<file path=xl/queryTables/queryTable1329.xml><?xml version="1.0" encoding="utf-8"?>
<queryTable xmlns="http://schemas.openxmlformats.org/spreadsheetml/2006/main" name="DD0130040_1540" connectionId="1167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DD0130040_641" connectionId="219" autoFormatId="16" applyNumberFormats="0" applyBorderFormats="0" applyFontFormats="1" applyPatternFormats="1" applyAlignmentFormats="0" applyWidthHeightFormats="0"/>
</file>

<file path=xl/queryTables/queryTable1330.xml><?xml version="1.0" encoding="utf-8"?>
<queryTable xmlns="http://schemas.openxmlformats.org/spreadsheetml/2006/main" name="DD0130040_807" connectionId="1006" autoFormatId="16" applyNumberFormats="0" applyBorderFormats="0" applyFontFormats="1" applyPatternFormats="1" applyAlignmentFormats="0" applyWidthHeightFormats="0"/>
</file>

<file path=xl/queryTables/queryTable1331.xml><?xml version="1.0" encoding="utf-8"?>
<queryTable xmlns="http://schemas.openxmlformats.org/spreadsheetml/2006/main" name="DD0130040_526" connectionId="348" autoFormatId="16" applyNumberFormats="0" applyBorderFormats="0" applyFontFormats="1" applyPatternFormats="1" applyAlignmentFormats="0" applyWidthHeightFormats="0"/>
</file>

<file path=xl/queryTables/queryTable1332.xml><?xml version="1.0" encoding="utf-8"?>
<queryTable xmlns="http://schemas.openxmlformats.org/spreadsheetml/2006/main" name="DD0130040_1050" connectionId="56" autoFormatId="16" applyNumberFormats="0" applyBorderFormats="0" applyFontFormats="1" applyPatternFormats="1" applyAlignmentFormats="0" applyWidthHeightFormats="0"/>
</file>

<file path=xl/queryTables/queryTable1333.xml><?xml version="1.0" encoding="utf-8"?>
<queryTable xmlns="http://schemas.openxmlformats.org/spreadsheetml/2006/main" name="DD0130040_1810" connectionId="1003" autoFormatId="16" applyNumberFormats="0" applyBorderFormats="0" applyFontFormats="1" applyPatternFormats="1" applyAlignmentFormats="0" applyWidthHeightFormats="0"/>
</file>

<file path=xl/queryTables/queryTable1334.xml><?xml version="1.0" encoding="utf-8"?>
<queryTable xmlns="http://schemas.openxmlformats.org/spreadsheetml/2006/main" name="DD0130040_332" connectionId="562" autoFormatId="16" applyNumberFormats="0" applyBorderFormats="0" applyFontFormats="1" applyPatternFormats="1" applyAlignmentFormats="0" applyWidthHeightFormats="0"/>
</file>

<file path=xl/queryTables/queryTable1335.xml><?xml version="1.0" encoding="utf-8"?>
<queryTable xmlns="http://schemas.openxmlformats.org/spreadsheetml/2006/main" name="DD0130040_1718" connectionId="213" autoFormatId="16" applyNumberFormats="0" applyBorderFormats="0" applyFontFormats="1" applyPatternFormats="1" applyAlignmentFormats="0" applyWidthHeightFormats="0"/>
</file>

<file path=xl/queryTables/queryTable1336.xml><?xml version="1.0" encoding="utf-8"?>
<queryTable xmlns="http://schemas.openxmlformats.org/spreadsheetml/2006/main" name="DD0130040_646" connectionId="214" autoFormatId="16" applyNumberFormats="0" applyBorderFormats="0" applyFontFormats="1" applyPatternFormats="1" applyAlignmentFormats="0" applyWidthHeightFormats="0"/>
</file>

<file path=xl/queryTables/queryTable1337.xml><?xml version="1.0" encoding="utf-8"?>
<queryTable xmlns="http://schemas.openxmlformats.org/spreadsheetml/2006/main" name="DD0130040_733" connectionId="117" autoFormatId="16" applyNumberFormats="0" applyBorderFormats="0" applyFontFormats="1" applyPatternFormats="1" applyAlignmentFormats="0" applyWidthHeightFormats="0"/>
</file>

<file path=xl/queryTables/queryTable1338.xml><?xml version="1.0" encoding="utf-8"?>
<queryTable xmlns="http://schemas.openxmlformats.org/spreadsheetml/2006/main" name="DD0130040_425" connectionId="460" autoFormatId="16" applyNumberFormats="0" applyBorderFormats="0" applyFontFormats="1" applyPatternFormats="1" applyAlignmentFormats="0" applyWidthHeightFormats="0"/>
</file>

<file path=xl/queryTables/queryTable1339.xml><?xml version="1.0" encoding="utf-8"?>
<queryTable xmlns="http://schemas.openxmlformats.org/spreadsheetml/2006/main" name="DD0130040_642" connectionId="218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DD0130040_1546" connectionId="1161" autoFormatId="16" applyNumberFormats="0" applyBorderFormats="0" applyFontFormats="1" applyPatternFormats="1" applyAlignmentFormats="0" applyWidthHeightFormats="0"/>
</file>

<file path=xl/queryTables/queryTable1340.xml><?xml version="1.0" encoding="utf-8"?>
<queryTable xmlns="http://schemas.openxmlformats.org/spreadsheetml/2006/main" name="DD0130040_864" connectionId="943" autoFormatId="16" applyNumberFormats="0" applyBorderFormats="0" applyFontFormats="1" applyPatternFormats="1" applyAlignmentFormats="0" applyWidthHeightFormats="0"/>
</file>

<file path=xl/queryTables/queryTable1341.xml><?xml version="1.0" encoding="utf-8"?>
<queryTable xmlns="http://schemas.openxmlformats.org/spreadsheetml/2006/main" name="DD0130040_1334" connectionId="1396" autoFormatId="16" applyNumberFormats="0" applyBorderFormats="0" applyFontFormats="1" applyPatternFormats="1" applyAlignmentFormats="0" applyWidthHeightFormats="0"/>
</file>

<file path=xl/queryTables/queryTable1342.xml><?xml version="1.0" encoding="utf-8"?>
<queryTable xmlns="http://schemas.openxmlformats.org/spreadsheetml/2006/main" name="DD0130040_1395" connectionId="1328" autoFormatId="16" applyNumberFormats="0" applyBorderFormats="0" applyFontFormats="1" applyPatternFormats="1" applyAlignmentFormats="0" applyWidthHeightFormats="0"/>
</file>

<file path=xl/queryTables/queryTable1343.xml><?xml version="1.0" encoding="utf-8"?>
<queryTable xmlns="http://schemas.openxmlformats.org/spreadsheetml/2006/main" name="DD0130040_1660" connectionId="857" autoFormatId="16" applyNumberFormats="0" applyBorderFormats="0" applyFontFormats="1" applyPatternFormats="1" applyAlignmentFormats="0" applyWidthHeightFormats="0"/>
</file>

<file path=xl/queryTables/queryTable1344.xml><?xml version="1.0" encoding="utf-8"?>
<queryTable xmlns="http://schemas.openxmlformats.org/spreadsheetml/2006/main" name="DD0130040_430" connectionId="453" autoFormatId="16" applyNumberFormats="0" applyBorderFormats="0" applyFontFormats="1" applyPatternFormats="1" applyAlignmentFormats="0" applyWidthHeightFormats="0"/>
</file>

<file path=xl/queryTables/queryTable1345.xml><?xml version="1.0" encoding="utf-8"?>
<queryTable xmlns="http://schemas.openxmlformats.org/spreadsheetml/2006/main" name="DD0130040_1811" connectionId="992" autoFormatId="16" applyNumberFormats="0" applyBorderFormats="0" applyFontFormats="1" applyPatternFormats="1" applyAlignmentFormats="0" applyWidthHeightFormats="0"/>
</file>

<file path=xl/queryTables/queryTable1346.xml><?xml version="1.0" encoding="utf-8"?>
<queryTable xmlns="http://schemas.openxmlformats.org/spreadsheetml/2006/main" name="DD0130040_1670" connectionId="746" autoFormatId="16" applyNumberFormats="0" applyBorderFormats="0" applyFontFormats="1" applyPatternFormats="1" applyAlignmentFormats="0" applyWidthHeightFormats="0"/>
</file>

<file path=xl/queryTables/queryTable1347.xml><?xml version="1.0" encoding="utf-8"?>
<queryTable xmlns="http://schemas.openxmlformats.org/spreadsheetml/2006/main" name="DD0130040_961" connectionId="1768" autoFormatId="16" applyNumberFormats="0" applyBorderFormats="0" applyFontFormats="1" applyPatternFormats="1" applyAlignmentFormats="0" applyWidthHeightFormats="0"/>
</file>

<file path=xl/queryTables/queryTable1348.xml><?xml version="1.0" encoding="utf-8"?>
<queryTable xmlns="http://schemas.openxmlformats.org/spreadsheetml/2006/main" name="DD0130040_2080" connectionId="871" autoFormatId="16" applyNumberFormats="0" applyBorderFormats="0" applyFontFormats="1" applyPatternFormats="1" applyAlignmentFormats="0" applyWidthHeightFormats="0"/>
</file>

<file path=xl/queryTables/queryTable1349.xml><?xml version="1.0" encoding="utf-8"?>
<queryTable xmlns="http://schemas.openxmlformats.org/spreadsheetml/2006/main" name="DD0130040_396" connectionId="492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DD0130040_1815" connectionId="948" autoFormatId="16" applyNumberFormats="0" applyBorderFormats="0" applyFontFormats="1" applyPatternFormats="1" applyAlignmentFormats="0" applyWidthHeightFormats="0"/>
</file>

<file path=xl/queryTables/queryTable1350.xml><?xml version="1.0" encoding="utf-8"?>
<queryTable xmlns="http://schemas.openxmlformats.org/spreadsheetml/2006/main" name="DD0130040_1618" connectionId="1080" autoFormatId="16" applyNumberFormats="0" applyBorderFormats="0" applyFontFormats="1" applyPatternFormats="1" applyAlignmentFormats="0" applyWidthHeightFormats="0"/>
</file>

<file path=xl/queryTables/queryTable1351.xml><?xml version="1.0" encoding="utf-8"?>
<queryTable xmlns="http://schemas.openxmlformats.org/spreadsheetml/2006/main" name="DD0130040_441" connectionId="441" autoFormatId="16" applyNumberFormats="0" applyBorderFormats="0" applyFontFormats="1" applyPatternFormats="1" applyAlignmentFormats="0" applyWidthHeightFormats="0"/>
</file>

<file path=xl/queryTables/queryTable1352.xml><?xml version="1.0" encoding="utf-8"?>
<queryTable xmlns="http://schemas.openxmlformats.org/spreadsheetml/2006/main" name="DD0130040_1545" connectionId="1162" autoFormatId="16" applyNumberFormats="0" applyBorderFormats="0" applyFontFormats="1" applyPatternFormats="1" applyAlignmentFormats="0" applyWidthHeightFormats="0"/>
</file>

<file path=xl/queryTables/queryTable1353.xml><?xml version="1.0" encoding="utf-8"?>
<queryTable xmlns="http://schemas.openxmlformats.org/spreadsheetml/2006/main" name="DD0130040_541" connectionId="330" autoFormatId="16" applyNumberFormats="0" applyBorderFormats="0" applyFontFormats="1" applyPatternFormats="1" applyAlignmentFormats="0" applyWidthHeightFormats="0"/>
</file>

<file path=xl/queryTables/queryTable1354.xml><?xml version="1.0" encoding="utf-8"?>
<queryTable xmlns="http://schemas.openxmlformats.org/spreadsheetml/2006/main" name="DD0130040_1989" connectionId="770" autoFormatId="16" applyNumberFormats="0" applyBorderFormats="0" applyFontFormats="1" applyPatternFormats="1" applyAlignmentFormats="0" applyWidthHeightFormats="0"/>
</file>

<file path=xl/queryTables/queryTable1355.xml><?xml version="1.0" encoding="utf-8"?>
<queryTable xmlns="http://schemas.openxmlformats.org/spreadsheetml/2006/main" name="DD0130040_1995" connectionId="776" autoFormatId="16" applyNumberFormats="0" applyBorderFormats="0" applyFontFormats="1" applyPatternFormats="1" applyAlignmentFormats="0" applyWidthHeightFormats="0"/>
</file>

<file path=xl/queryTables/queryTable1356.xml><?xml version="1.0" encoding="utf-8"?>
<queryTable xmlns="http://schemas.openxmlformats.org/spreadsheetml/2006/main" name="DD0130040_736" connectionId="114" autoFormatId="16" applyNumberFormats="0" applyBorderFormats="0" applyFontFormats="1" applyPatternFormats="1" applyAlignmentFormats="0" applyWidthHeightFormats="0"/>
</file>

<file path=xl/queryTables/queryTable1357.xml><?xml version="1.0" encoding="utf-8"?>
<queryTable xmlns="http://schemas.openxmlformats.org/spreadsheetml/2006/main" name="DD0130040_1901" connectionId="672" autoFormatId="16" applyNumberFormats="0" applyBorderFormats="0" applyFontFormats="1" applyPatternFormats="1" applyAlignmentFormats="0" applyWidthHeightFormats="0"/>
</file>

<file path=xl/queryTables/queryTable1358.xml><?xml version="1.0" encoding="utf-8"?>
<queryTable xmlns="http://schemas.openxmlformats.org/spreadsheetml/2006/main" name="DD0130040_1467" connectionId="1248" autoFormatId="16" applyNumberFormats="0" applyBorderFormats="0" applyFontFormats="1" applyPatternFormats="1" applyAlignmentFormats="0" applyWidthHeightFormats="0"/>
</file>

<file path=xl/queryTables/queryTable1359.xml><?xml version="1.0" encoding="utf-8"?>
<queryTable xmlns="http://schemas.openxmlformats.org/spreadsheetml/2006/main" name="DD0130040_1341" connectionId="1388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DD0130040_2052" connectionId="840" autoFormatId="16" applyNumberFormats="0" applyBorderFormats="0" applyFontFormats="1" applyPatternFormats="1" applyAlignmentFormats="0" applyWidthHeightFormats="0"/>
</file>

<file path=xl/queryTables/queryTable1360.xml><?xml version="1.0" encoding="utf-8"?>
<queryTable xmlns="http://schemas.openxmlformats.org/spreadsheetml/2006/main" name="DD0130040_2046" connectionId="833" autoFormatId="16" applyNumberFormats="0" applyBorderFormats="0" applyFontFormats="1" applyPatternFormats="1" applyAlignmentFormats="0" applyWidthHeightFormats="0"/>
</file>

<file path=xl/queryTables/queryTable1361.xml><?xml version="1.0" encoding="utf-8"?>
<queryTable xmlns="http://schemas.openxmlformats.org/spreadsheetml/2006/main" name="DD0130040_1031" connectionId="35" autoFormatId="16" applyNumberFormats="0" applyBorderFormats="0" applyFontFormats="1" applyPatternFormats="1" applyAlignmentFormats="0" applyWidthHeightFormats="0"/>
</file>

<file path=xl/queryTables/queryTable1362.xml><?xml version="1.0" encoding="utf-8"?>
<queryTable xmlns="http://schemas.openxmlformats.org/spreadsheetml/2006/main" name="DD0130040_2037" connectionId="823" autoFormatId="16" applyNumberFormats="0" applyBorderFormats="0" applyFontFormats="1" applyPatternFormats="1" applyAlignmentFormats="0" applyWidthHeightFormats="0"/>
</file>

<file path=xl/queryTables/queryTable1363.xml><?xml version="1.0" encoding="utf-8"?>
<queryTable xmlns="http://schemas.openxmlformats.org/spreadsheetml/2006/main" name="DD0130040_660" connectionId="198" autoFormatId="16" applyNumberFormats="0" applyBorderFormats="0" applyFontFormats="1" applyPatternFormats="1" applyAlignmentFormats="0" applyWidthHeightFormats="0"/>
</file>

<file path=xl/queryTables/queryTable1364.xml><?xml version="1.0" encoding="utf-8"?>
<queryTable xmlns="http://schemas.openxmlformats.org/spreadsheetml/2006/main" name="DD0130040_1038" connectionId="43" autoFormatId="16" applyNumberFormats="0" applyBorderFormats="0" applyFontFormats="1" applyPatternFormats="1" applyAlignmentFormats="0" applyWidthHeightFormats="0"/>
</file>

<file path=xl/queryTables/queryTable1365.xml><?xml version="1.0" encoding="utf-8"?>
<queryTable xmlns="http://schemas.openxmlformats.org/spreadsheetml/2006/main" name="DD0130040_2047" connectionId="834" autoFormatId="16" applyNumberFormats="0" applyBorderFormats="0" applyFontFormats="1" applyPatternFormats="1" applyAlignmentFormats="0" applyWidthHeightFormats="0"/>
</file>

<file path=xl/queryTables/queryTable1366.xml><?xml version="1.0" encoding="utf-8"?>
<queryTable xmlns="http://schemas.openxmlformats.org/spreadsheetml/2006/main" name="DD0130040_1814" connectionId="959" autoFormatId="16" applyNumberFormats="0" applyBorderFormats="0" applyFontFormats="1" applyPatternFormats="1" applyAlignmentFormats="0" applyWidthHeightFormats="0"/>
</file>

<file path=xl/queryTables/queryTable1367.xml><?xml version="1.0" encoding="utf-8"?>
<queryTable xmlns="http://schemas.openxmlformats.org/spreadsheetml/2006/main" name="DD0130040_532" connectionId="340" autoFormatId="16" applyNumberFormats="0" applyBorderFormats="0" applyFontFormats="1" applyPatternFormats="1" applyAlignmentFormats="0" applyWidthHeightFormats="0"/>
</file>

<file path=xl/queryTables/queryTable1368.xml><?xml version="1.0" encoding="utf-8"?>
<queryTable xmlns="http://schemas.openxmlformats.org/spreadsheetml/2006/main" name="DD0130040_1216" connectionId="1527" autoFormatId="16" applyNumberFormats="0" applyBorderFormats="0" applyFontFormats="1" applyPatternFormats="1" applyAlignmentFormats="0" applyWidthHeightFormats="0"/>
</file>

<file path=xl/queryTables/queryTable1369.xml><?xml version="1.0" encoding="utf-8"?>
<queryTable xmlns="http://schemas.openxmlformats.org/spreadsheetml/2006/main" name="DD0130040_316" connectionId="581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DD0130040_482" connectionId="396" autoFormatId="16" applyNumberFormats="0" applyBorderFormats="0" applyFontFormats="1" applyPatternFormats="1" applyAlignmentFormats="0" applyWidthHeightFormats="0"/>
</file>

<file path=xl/queryTables/queryTable1370.xml><?xml version="1.0" encoding="utf-8"?>
<queryTable xmlns="http://schemas.openxmlformats.org/spreadsheetml/2006/main" name="DD0130040_2073" connectionId="863" autoFormatId="16" applyNumberFormats="0" applyBorderFormats="0" applyFontFormats="1" applyPatternFormats="1" applyAlignmentFormats="0" applyWidthHeightFormats="0"/>
</file>

<file path=xl/queryTables/queryTable1371.xml><?xml version="1.0" encoding="utf-8"?>
<queryTable xmlns="http://schemas.openxmlformats.org/spreadsheetml/2006/main" name="DD0130040_1185" connectionId="1561" autoFormatId="16" applyNumberFormats="0" applyBorderFormats="0" applyFontFormats="1" applyPatternFormats="1" applyAlignmentFormats="0" applyWidthHeightFormats="0"/>
</file>

<file path=xl/queryTables/queryTable1372.xml><?xml version="1.0" encoding="utf-8"?>
<queryTable xmlns="http://schemas.openxmlformats.org/spreadsheetml/2006/main" name="DD0130040_986" connectionId="1796" autoFormatId="16" applyNumberFormats="0" applyBorderFormats="0" applyFontFormats="1" applyPatternFormats="1" applyAlignmentFormats="0" applyWidthHeightFormats="0"/>
</file>

<file path=xl/queryTables/queryTable1373.xml><?xml version="1.0" encoding="utf-8"?>
<queryTable xmlns="http://schemas.openxmlformats.org/spreadsheetml/2006/main" name="DD0130040_837" connectionId="973" autoFormatId="16" applyNumberFormats="0" applyBorderFormats="0" applyFontFormats="1" applyPatternFormats="1" applyAlignmentFormats="0" applyWidthHeightFormats="0"/>
</file>

<file path=xl/queryTables/queryTable1374.xml><?xml version="1.0" encoding="utf-8"?>
<queryTable xmlns="http://schemas.openxmlformats.org/spreadsheetml/2006/main" name="DD0130040_1551" connectionId="1154" autoFormatId="16" applyNumberFormats="0" applyBorderFormats="0" applyFontFormats="1" applyPatternFormats="1" applyAlignmentFormats="0" applyWidthHeightFormats="0"/>
</file>

<file path=xl/queryTables/queryTable1375.xml><?xml version="1.0" encoding="utf-8"?>
<queryTable xmlns="http://schemas.openxmlformats.org/spreadsheetml/2006/main" name="DD0130040_356" connectionId="536" autoFormatId="16" applyNumberFormats="0" applyBorderFormats="0" applyFontFormats="1" applyPatternFormats="1" applyAlignmentFormats="0" applyWidthHeightFormats="0"/>
</file>

<file path=xl/queryTables/queryTable1376.xml><?xml version="1.0" encoding="utf-8"?>
<queryTable xmlns="http://schemas.openxmlformats.org/spreadsheetml/2006/main" name="DD0130040_1763" connectionId="1525" autoFormatId="16" applyNumberFormats="0" applyBorderFormats="0" applyFontFormats="1" applyPatternFormats="1" applyAlignmentFormats="0" applyWidthHeightFormats="0"/>
</file>

<file path=xl/queryTables/queryTable1377.xml><?xml version="1.0" encoding="utf-8"?>
<queryTable xmlns="http://schemas.openxmlformats.org/spreadsheetml/2006/main" name="DD0130040_692" connectionId="163" autoFormatId="16" applyNumberFormats="0" applyBorderFormats="0" applyFontFormats="1" applyPatternFormats="1" applyAlignmentFormats="0" applyWidthHeightFormats="0"/>
</file>

<file path=xl/queryTables/queryTable1378.xml><?xml version="1.0" encoding="utf-8"?>
<queryTable xmlns="http://schemas.openxmlformats.org/spreadsheetml/2006/main" name="DD0130040_664" connectionId="194" autoFormatId="16" applyNumberFormats="0" applyBorderFormats="0" applyFontFormats="1" applyPatternFormats="1" applyAlignmentFormats="0" applyWidthHeightFormats="0"/>
</file>

<file path=xl/queryTables/queryTable1379.xml><?xml version="1.0" encoding="utf-8"?>
<queryTable xmlns="http://schemas.openxmlformats.org/spreadsheetml/2006/main" name="DD0130040_1330" connectionId="1400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DD0130040_458" connectionId="422" autoFormatId="16" applyNumberFormats="0" applyBorderFormats="0" applyFontFormats="1" applyPatternFormats="1" applyAlignmentFormats="0" applyWidthHeightFormats="0"/>
</file>

<file path=xl/queryTables/queryTable1380.xml><?xml version="1.0" encoding="utf-8"?>
<queryTable xmlns="http://schemas.openxmlformats.org/spreadsheetml/2006/main" name="DD0130040_1999" connectionId="781" autoFormatId="16" applyNumberFormats="0" applyBorderFormats="0" applyFontFormats="1" applyPatternFormats="1" applyAlignmentFormats="0" applyWidthHeightFormats="0"/>
</file>

<file path=xl/queryTables/queryTable1381.xml><?xml version="1.0" encoding="utf-8"?>
<queryTable xmlns="http://schemas.openxmlformats.org/spreadsheetml/2006/main" name="DD0130040_1933" connectionId="708" autoFormatId="16" applyNumberFormats="0" applyBorderFormats="0" applyFontFormats="1" applyPatternFormats="1" applyAlignmentFormats="0" applyWidthHeightFormats="0"/>
</file>

<file path=xl/queryTables/queryTable1382.xml><?xml version="1.0" encoding="utf-8"?>
<queryTable xmlns="http://schemas.openxmlformats.org/spreadsheetml/2006/main" name="DD0130040_1512" connectionId="1198" autoFormatId="16" applyNumberFormats="0" applyBorderFormats="0" applyFontFormats="1" applyPatternFormats="1" applyAlignmentFormats="0" applyWidthHeightFormats="0"/>
</file>

<file path=xl/queryTables/queryTable1383.xml><?xml version="1.0" encoding="utf-8"?>
<queryTable xmlns="http://schemas.openxmlformats.org/spreadsheetml/2006/main" name="DD0130040_730" connectionId="120" autoFormatId="16" applyNumberFormats="0" applyBorderFormats="0" applyFontFormats="1" applyPatternFormats="1" applyAlignmentFormats="0" applyWidthHeightFormats="0"/>
</file>

<file path=xl/queryTables/queryTable1384.xml><?xml version="1.0" encoding="utf-8"?>
<queryTable xmlns="http://schemas.openxmlformats.org/spreadsheetml/2006/main" name="DD0130040_1145" connectionId="1606" autoFormatId="16" applyNumberFormats="0" applyBorderFormats="0" applyFontFormats="1" applyPatternFormats="1" applyAlignmentFormats="0" applyWidthHeightFormats="0"/>
</file>

<file path=xl/queryTables/queryTable1385.xml><?xml version="1.0" encoding="utf-8"?>
<queryTable xmlns="http://schemas.openxmlformats.org/spreadsheetml/2006/main" name="DD0130040_947" connectionId="1753" autoFormatId="16" applyNumberFormats="0" applyBorderFormats="0" applyFontFormats="1" applyPatternFormats="1" applyAlignmentFormats="0" applyWidthHeightFormats="0"/>
</file>

<file path=xl/queryTables/queryTable1386.xml><?xml version="1.0" encoding="utf-8"?>
<queryTable xmlns="http://schemas.openxmlformats.org/spreadsheetml/2006/main" name="DD0130040_505" connectionId="371" autoFormatId="16" applyNumberFormats="0" applyBorderFormats="0" applyFontFormats="1" applyPatternFormats="1" applyAlignmentFormats="0" applyWidthHeightFormats="0"/>
</file>

<file path=xl/queryTables/queryTable1387.xml><?xml version="1.0" encoding="utf-8"?>
<queryTable xmlns="http://schemas.openxmlformats.org/spreadsheetml/2006/main" name="DD0130040_741" connectionId="108" autoFormatId="16" applyNumberFormats="0" applyBorderFormats="0" applyFontFormats="1" applyPatternFormats="1" applyAlignmentFormats="0" applyWidthHeightFormats="0"/>
</file>

<file path=xl/queryTables/queryTable1388.xml><?xml version="1.0" encoding="utf-8"?>
<queryTable xmlns="http://schemas.openxmlformats.org/spreadsheetml/2006/main" name="DD0130040_1298" connectionId="1435" autoFormatId="16" applyNumberFormats="0" applyBorderFormats="0" applyFontFormats="1" applyPatternFormats="1" applyAlignmentFormats="0" applyWidthHeightFormats="0"/>
</file>

<file path=xl/queryTables/queryTable1389.xml><?xml version="1.0" encoding="utf-8"?>
<queryTable xmlns="http://schemas.openxmlformats.org/spreadsheetml/2006/main" name="DD0130040_652" connectionId="207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DD0130040_527" connectionId="346" autoFormatId="16" applyNumberFormats="0" applyBorderFormats="0" applyFontFormats="1" applyPatternFormats="1" applyAlignmentFormats="0" applyWidthHeightFormats="0"/>
</file>

<file path=xl/queryTables/queryTable1390.xml><?xml version="1.0" encoding="utf-8"?>
<queryTable xmlns="http://schemas.openxmlformats.org/spreadsheetml/2006/main" name="DD0130040_452" connectionId="429" autoFormatId="16" applyNumberFormats="0" applyBorderFormats="0" applyFontFormats="1" applyPatternFormats="1" applyAlignmentFormats="0" applyWidthHeightFormats="0"/>
</file>

<file path=xl/queryTables/queryTable1391.xml><?xml version="1.0" encoding="utf-8"?>
<queryTable xmlns="http://schemas.openxmlformats.org/spreadsheetml/2006/main" name="DD0130040_1280" connectionId="1455" autoFormatId="16" applyNumberFormats="0" applyBorderFormats="0" applyFontFormats="1" applyPatternFormats="1" applyAlignmentFormats="0" applyWidthHeightFormats="0"/>
</file>

<file path=xl/queryTables/queryTable1392.xml><?xml version="1.0" encoding="utf-8"?>
<queryTable xmlns="http://schemas.openxmlformats.org/spreadsheetml/2006/main" name="DD0130040_309" connectionId="588" autoFormatId="16" applyNumberFormats="0" applyBorderFormats="0" applyFontFormats="1" applyPatternFormats="1" applyAlignmentFormats="0" applyWidthHeightFormats="0"/>
</file>

<file path=xl/queryTables/queryTable1393.xml><?xml version="1.0" encoding="utf-8"?>
<queryTable xmlns="http://schemas.openxmlformats.org/spreadsheetml/2006/main" name="DD0130040_978" connectionId="1787" autoFormatId="16" applyNumberFormats="0" applyBorderFormats="0" applyFontFormats="1" applyPatternFormats="1" applyAlignmentFormats="0" applyWidthHeightFormats="0"/>
</file>

<file path=xl/queryTables/queryTable1394.xml><?xml version="1.0" encoding="utf-8"?>
<queryTable xmlns="http://schemas.openxmlformats.org/spreadsheetml/2006/main" name="DD0130040_969" connectionId="1777" autoFormatId="16" applyNumberFormats="0" applyBorderFormats="0" applyFontFormats="1" applyPatternFormats="1" applyAlignmentFormats="0" applyWidthHeightFormats="0"/>
</file>

<file path=xl/queryTables/queryTable1395.xml><?xml version="1.0" encoding="utf-8"?>
<queryTable xmlns="http://schemas.openxmlformats.org/spreadsheetml/2006/main" name="DD0130040_543" connectionId="328" autoFormatId="16" applyNumberFormats="0" applyBorderFormats="0" applyFontFormats="1" applyPatternFormats="1" applyAlignmentFormats="0" applyWidthHeightFormats="0"/>
</file>

<file path=xl/queryTables/queryTable1396.xml><?xml version="1.0" encoding="utf-8"?>
<queryTable xmlns="http://schemas.openxmlformats.org/spreadsheetml/2006/main" name="DD0130040_1360" connectionId="1366" autoFormatId="16" applyNumberFormats="0" applyBorderFormats="0" applyFontFormats="1" applyPatternFormats="1" applyAlignmentFormats="0" applyWidthHeightFormats="0"/>
</file>

<file path=xl/queryTables/queryTable1397.xml><?xml version="1.0" encoding="utf-8"?>
<queryTable xmlns="http://schemas.openxmlformats.org/spreadsheetml/2006/main" name="DD0130040_504" connectionId="372" autoFormatId="16" applyNumberFormats="0" applyBorderFormats="0" applyFontFormats="1" applyPatternFormats="1" applyAlignmentFormats="0" applyWidthHeightFormats="0"/>
</file>

<file path=xl/queryTables/queryTable1398.xml><?xml version="1.0" encoding="utf-8"?>
<queryTable xmlns="http://schemas.openxmlformats.org/spreadsheetml/2006/main" name="DD0130040_511" connectionId="364" autoFormatId="16" applyNumberFormats="0" applyBorderFormats="0" applyFontFormats="1" applyPatternFormats="1" applyAlignmentFormats="0" applyWidthHeightFormats="0"/>
</file>

<file path=xl/queryTables/queryTable1399.xml><?xml version="1.0" encoding="utf-8"?>
<queryTable xmlns="http://schemas.openxmlformats.org/spreadsheetml/2006/main" name="DD0130040_1486" connectionId="12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DD0130040_404" connectionId="483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DD0130040_910" connectionId="1711" autoFormatId="16" applyNumberFormats="0" applyBorderFormats="0" applyFontFormats="1" applyPatternFormats="1" applyAlignmentFormats="0" applyWidthHeightFormats="0"/>
</file>

<file path=xl/queryTables/queryTable1400.xml><?xml version="1.0" encoding="utf-8"?>
<queryTable xmlns="http://schemas.openxmlformats.org/spreadsheetml/2006/main" name="DD0130040_1424" connectionId="1296" autoFormatId="16" applyNumberFormats="0" applyBorderFormats="0" applyFontFormats="1" applyPatternFormats="1" applyAlignmentFormats="0" applyWidthHeightFormats="0"/>
</file>

<file path=xl/queryTables/queryTable1401.xml><?xml version="1.0" encoding="utf-8"?>
<queryTable xmlns="http://schemas.openxmlformats.org/spreadsheetml/2006/main" name="DD0130040_938" connectionId="1743" autoFormatId="16" applyNumberFormats="0" applyBorderFormats="0" applyFontFormats="1" applyPatternFormats="1" applyAlignmentFormats="0" applyWidthHeightFormats="0"/>
</file>

<file path=xl/queryTables/queryTable1402.xml><?xml version="1.0" encoding="utf-8"?>
<queryTable xmlns="http://schemas.openxmlformats.org/spreadsheetml/2006/main" name="DD0130040_711" connectionId="142" autoFormatId="16" applyNumberFormats="0" applyBorderFormats="0" applyFontFormats="1" applyPatternFormats="1" applyAlignmentFormats="0" applyWidthHeightFormats="0"/>
</file>

<file path=xl/queryTables/queryTable1403.xml><?xml version="1.0" encoding="utf-8"?>
<queryTable xmlns="http://schemas.openxmlformats.org/spreadsheetml/2006/main" name="DD0130040_1293" connectionId="1441" autoFormatId="16" applyNumberFormats="0" applyBorderFormats="0" applyFontFormats="1" applyPatternFormats="1" applyAlignmentFormats="0" applyWidthHeightFormats="0"/>
</file>

<file path=xl/queryTables/queryTable1404.xml><?xml version="1.0" encoding="utf-8"?>
<queryTable xmlns="http://schemas.openxmlformats.org/spreadsheetml/2006/main" name="DD0130040_1938" connectionId="714" autoFormatId="16" applyNumberFormats="0" applyBorderFormats="0" applyFontFormats="1" applyPatternFormats="1" applyAlignmentFormats="0" applyWidthHeightFormats="0"/>
</file>

<file path=xl/queryTables/queryTable1405.xml><?xml version="1.0" encoding="utf-8"?>
<queryTable xmlns="http://schemas.openxmlformats.org/spreadsheetml/2006/main" name="DD0130040_423" connectionId="462" autoFormatId="16" applyNumberFormats="0" applyBorderFormats="0" applyFontFormats="1" applyPatternFormats="1" applyAlignmentFormats="0" applyWidthHeightFormats="0"/>
</file>

<file path=xl/queryTables/queryTable1406.xml><?xml version="1.0" encoding="utf-8"?>
<queryTable xmlns="http://schemas.openxmlformats.org/spreadsheetml/2006/main" name="DD0130040_1252" connectionId="1486" autoFormatId="16" applyNumberFormats="0" applyBorderFormats="0" applyFontFormats="1" applyPatternFormats="1" applyAlignmentFormats="0" applyWidthHeightFormats="0"/>
</file>

<file path=xl/queryTables/queryTable1407.xml><?xml version="1.0" encoding="utf-8"?>
<queryTable xmlns="http://schemas.openxmlformats.org/spreadsheetml/2006/main" name="DD0130040_841" connectionId="968" autoFormatId="16" applyNumberFormats="0" applyBorderFormats="0" applyFontFormats="1" applyPatternFormats="1" applyAlignmentFormats="0" applyWidthHeightFormats="0"/>
</file>

<file path=xl/queryTables/queryTable1408.xml><?xml version="1.0" encoding="utf-8"?>
<queryTable xmlns="http://schemas.openxmlformats.org/spreadsheetml/2006/main" name="DD0130040_1721" connectionId="180" autoFormatId="16" applyNumberFormats="0" applyBorderFormats="0" applyFontFormats="1" applyPatternFormats="1" applyAlignmentFormats="0" applyWidthHeightFormats="0"/>
</file>

<file path=xl/queryTables/queryTable1409.xml><?xml version="1.0" encoding="utf-8"?>
<queryTable xmlns="http://schemas.openxmlformats.org/spreadsheetml/2006/main" name="DD0130040_1231" connectionId="1510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DD0130040_1986" connectionId="766" autoFormatId="16" applyNumberFormats="0" applyBorderFormats="0" applyFontFormats="1" applyPatternFormats="1" applyAlignmentFormats="0" applyWidthHeightFormats="0"/>
</file>

<file path=xl/queryTables/queryTable1410.xml><?xml version="1.0" encoding="utf-8"?>
<queryTable xmlns="http://schemas.openxmlformats.org/spreadsheetml/2006/main" name="DD0130040_1127" connectionId="1626" autoFormatId="16" applyNumberFormats="0" applyBorderFormats="0" applyFontFormats="1" applyPatternFormats="1" applyAlignmentFormats="0" applyWidthHeightFormats="0"/>
</file>

<file path=xl/queryTables/queryTable1411.xml><?xml version="1.0" encoding="utf-8"?>
<queryTable xmlns="http://schemas.openxmlformats.org/spreadsheetml/2006/main" name="DD0130040_2031" connectionId="817" autoFormatId="16" applyNumberFormats="0" applyBorderFormats="0" applyFontFormats="1" applyPatternFormats="1" applyAlignmentFormats="0" applyWidthHeightFormats="0"/>
</file>

<file path=xl/queryTables/queryTable1412.xml><?xml version="1.0" encoding="utf-8"?>
<queryTable xmlns="http://schemas.openxmlformats.org/spreadsheetml/2006/main" name="DD0130040_1109" connectionId="1645" autoFormatId="16" applyNumberFormats="0" applyBorderFormats="0" applyFontFormats="1" applyPatternFormats="1" applyAlignmentFormats="0" applyWidthHeightFormats="0"/>
</file>

<file path=xl/queryTables/queryTable1413.xml><?xml version="1.0" encoding="utf-8"?>
<queryTable xmlns="http://schemas.openxmlformats.org/spreadsheetml/2006/main" name="DD0130040_1202" connectionId="1542" autoFormatId="16" applyNumberFormats="0" applyBorderFormats="0" applyFontFormats="1" applyPatternFormats="1" applyAlignmentFormats="0" applyWidthHeightFormats="0"/>
</file>

<file path=xl/queryTables/queryTable1414.xml><?xml version="1.0" encoding="utf-8"?>
<queryTable xmlns="http://schemas.openxmlformats.org/spreadsheetml/2006/main" name="DD0130040_687" connectionId="168" autoFormatId="16" applyNumberFormats="0" applyBorderFormats="0" applyFontFormats="1" applyPatternFormats="1" applyAlignmentFormats="0" applyWidthHeightFormats="0"/>
</file>

<file path=xl/queryTables/queryTable1415.xml><?xml version="1.0" encoding="utf-8"?>
<queryTable xmlns="http://schemas.openxmlformats.org/spreadsheetml/2006/main" name="DD0130040_1918" connectionId="692" autoFormatId="16" applyNumberFormats="0" applyBorderFormats="0" applyFontFormats="1" applyPatternFormats="1" applyAlignmentFormats="0" applyWidthHeightFormats="0"/>
</file>

<file path=xl/queryTables/queryTable1416.xml><?xml version="1.0" encoding="utf-8"?>
<queryTable xmlns="http://schemas.openxmlformats.org/spreadsheetml/2006/main" name="DD0130040_323" connectionId="573" autoFormatId="16" applyNumberFormats="0" applyBorderFormats="0" applyFontFormats="1" applyPatternFormats="1" applyAlignmentFormats="0" applyWidthHeightFormats="0"/>
</file>

<file path=xl/queryTables/queryTable1417.xml><?xml version="1.0" encoding="utf-8"?>
<queryTable xmlns="http://schemas.openxmlformats.org/spreadsheetml/2006/main" name="DD0130040_979" connectionId="1788" autoFormatId="16" applyNumberFormats="0" applyBorderFormats="0" applyFontFormats="1" applyPatternFormats="1" applyAlignmentFormats="0" applyWidthHeightFormats="0"/>
</file>

<file path=xl/queryTables/queryTable1418.xml><?xml version="1.0" encoding="utf-8"?>
<queryTable xmlns="http://schemas.openxmlformats.org/spreadsheetml/2006/main" name="DD0130040_1535" connectionId="1173" autoFormatId="16" applyNumberFormats="0" applyBorderFormats="0" applyFontFormats="1" applyPatternFormats="1" applyAlignmentFormats="0" applyWidthHeightFormats="0"/>
</file>

<file path=xl/queryTables/queryTable1419.xml><?xml version="1.0" encoding="utf-8"?>
<queryTable xmlns="http://schemas.openxmlformats.org/spreadsheetml/2006/main" name="DD0130040_643" connectionId="217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DD0130040_1704" connectionId="369" autoFormatId="16" applyNumberFormats="0" applyBorderFormats="0" applyFontFormats="1" applyPatternFormats="1" applyAlignmentFormats="0" applyWidthHeightFormats="0"/>
</file>

<file path=xl/queryTables/queryTable1420.xml><?xml version="1.0" encoding="utf-8"?>
<queryTable xmlns="http://schemas.openxmlformats.org/spreadsheetml/2006/main" name="DD0130040_1025" connectionId="29" autoFormatId="16" applyNumberFormats="0" applyBorderFormats="0" applyFontFormats="1" applyPatternFormats="1" applyAlignmentFormats="0" applyWidthHeightFormats="0"/>
</file>

<file path=xl/queryTables/queryTable1421.xml><?xml version="1.0" encoding="utf-8"?>
<queryTable xmlns="http://schemas.openxmlformats.org/spreadsheetml/2006/main" name="DD0130040_1407" connectionId="1315" autoFormatId="16" applyNumberFormats="0" applyBorderFormats="0" applyFontFormats="1" applyPatternFormats="1" applyAlignmentFormats="0" applyWidthHeightFormats="0"/>
</file>

<file path=xl/queryTables/queryTable1422.xml><?xml version="1.0" encoding="utf-8"?>
<queryTable xmlns="http://schemas.openxmlformats.org/spreadsheetml/2006/main" name="DD0130040_1423" connectionId="1297" autoFormatId="16" applyNumberFormats="0" applyBorderFormats="0" applyFontFormats="1" applyPatternFormats="1" applyAlignmentFormats="0" applyWidthHeightFormats="0"/>
</file>

<file path=xl/queryTables/queryTable1423.xml><?xml version="1.0" encoding="utf-8"?>
<queryTable xmlns="http://schemas.openxmlformats.org/spreadsheetml/2006/main" name="DD0130040_1667" connectionId="779" autoFormatId="16" applyNumberFormats="0" applyBorderFormats="0" applyFontFormats="1" applyPatternFormats="1" applyAlignmentFormats="0" applyWidthHeightFormats="0"/>
</file>

<file path=xl/queryTables/queryTable1424.xml><?xml version="1.0" encoding="utf-8"?>
<queryTable xmlns="http://schemas.openxmlformats.org/spreadsheetml/2006/main" name="DD0130040_857" connectionId="951" autoFormatId="16" applyNumberFormats="0" applyBorderFormats="0" applyFontFormats="1" applyPatternFormats="1" applyAlignmentFormats="0" applyWidthHeightFormats="0"/>
</file>

<file path=xl/queryTables/queryTable1425.xml><?xml version="1.0" encoding="utf-8"?>
<queryTable xmlns="http://schemas.openxmlformats.org/spreadsheetml/2006/main" name="DD0130040_1656" connectionId="901" autoFormatId="16" applyNumberFormats="0" applyBorderFormats="0" applyFontFormats="1" applyPatternFormats="1" applyAlignmentFormats="0" applyWidthHeightFormats="0"/>
</file>

<file path=xl/queryTables/queryTable1426.xml><?xml version="1.0" encoding="utf-8"?>
<queryTable xmlns="http://schemas.openxmlformats.org/spreadsheetml/2006/main" name="DD0130040_1509" connectionId="1201" autoFormatId="16" applyNumberFormats="0" applyBorderFormats="0" applyFontFormats="1" applyPatternFormats="1" applyAlignmentFormats="0" applyWidthHeightFormats="0"/>
</file>

<file path=xl/queryTables/queryTable1427.xml><?xml version="1.0" encoding="utf-8"?>
<queryTable xmlns="http://schemas.openxmlformats.org/spreadsheetml/2006/main" name="DD0130040_2028" connectionId="814" autoFormatId="16" applyNumberFormats="0" applyBorderFormats="0" applyFontFormats="1" applyPatternFormats="1" applyAlignmentFormats="0" applyWidthHeightFormats="0"/>
</file>

<file path=xl/queryTables/queryTable1428.xml><?xml version="1.0" encoding="utf-8"?>
<queryTable xmlns="http://schemas.openxmlformats.org/spreadsheetml/2006/main" name="DD0130040_1728" connectionId="102" autoFormatId="16" applyNumberFormats="0" applyBorderFormats="0" applyFontFormats="1" applyPatternFormats="1" applyAlignmentFormats="0" applyWidthHeightFormats="0"/>
</file>

<file path=xl/queryTables/queryTable1429.xml><?xml version="1.0" encoding="utf-8"?>
<queryTable xmlns="http://schemas.openxmlformats.org/spreadsheetml/2006/main" name="DD0130040_1475" connectionId="1239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DD0130040_1283" connectionId="1452" autoFormatId="16" applyNumberFormats="0" applyBorderFormats="0" applyFontFormats="1" applyPatternFormats="1" applyAlignmentFormats="0" applyWidthHeightFormats="0"/>
</file>

<file path=xl/queryTables/queryTable1430.xml><?xml version="1.0" encoding="utf-8"?>
<queryTable xmlns="http://schemas.openxmlformats.org/spreadsheetml/2006/main" name="DD0130040_595" connectionId="271" autoFormatId="16" applyNumberFormats="0" applyBorderFormats="0" applyFontFormats="1" applyPatternFormats="1" applyAlignmentFormats="0" applyWidthHeightFormats="0"/>
</file>

<file path=xl/queryTables/queryTable1431.xml><?xml version="1.0" encoding="utf-8"?>
<queryTable xmlns="http://schemas.openxmlformats.org/spreadsheetml/2006/main" name="DD0130040_892" connectionId="1692" autoFormatId="16" applyNumberFormats="0" applyBorderFormats="0" applyFontFormats="1" applyPatternFormats="1" applyAlignmentFormats="0" applyWidthHeightFormats="0"/>
</file>

<file path=xl/queryTables/queryTable1432.xml><?xml version="1.0" encoding="utf-8"?>
<queryTable xmlns="http://schemas.openxmlformats.org/spreadsheetml/2006/main" name="DD0130040_996" connectionId="1807" autoFormatId="16" applyNumberFormats="0" applyBorderFormats="0" applyFontFormats="1" applyPatternFormats="1" applyAlignmentFormats="0" applyWidthHeightFormats="0"/>
</file>

<file path=xl/queryTables/queryTable1433.xml><?xml version="1.0" encoding="utf-8"?>
<queryTable xmlns="http://schemas.openxmlformats.org/spreadsheetml/2006/main" name="DD0130040_530" connectionId="342" autoFormatId="16" applyNumberFormats="0" applyBorderFormats="0" applyFontFormats="1" applyPatternFormats="1" applyAlignmentFormats="0" applyWidthHeightFormats="0"/>
</file>

<file path=xl/queryTables/queryTable1434.xml><?xml version="1.0" encoding="utf-8"?>
<queryTable xmlns="http://schemas.openxmlformats.org/spreadsheetml/2006/main" name="DD0130040_503" connectionId="373" autoFormatId="16" applyNumberFormats="0" applyBorderFormats="0" applyFontFormats="1" applyPatternFormats="1" applyAlignmentFormats="0" applyWidthHeightFormats="0"/>
</file>

<file path=xl/queryTables/queryTable1435.xml><?xml version="1.0" encoding="utf-8"?>
<queryTable xmlns="http://schemas.openxmlformats.org/spreadsheetml/2006/main" name="DD0130040_1840" connectionId="605" autoFormatId="16" applyNumberFormats="0" applyBorderFormats="0" applyFontFormats="1" applyPatternFormats="1" applyAlignmentFormats="0" applyWidthHeightFormats="0"/>
</file>

<file path=xl/queryTables/queryTable1436.xml><?xml version="1.0" encoding="utf-8"?>
<queryTable xmlns="http://schemas.openxmlformats.org/spreadsheetml/2006/main" name="DD0130040_997" connectionId="1808" autoFormatId="16" applyNumberFormats="0" applyBorderFormats="0" applyFontFormats="1" applyPatternFormats="1" applyAlignmentFormats="0" applyWidthHeightFormats="0"/>
</file>

<file path=xl/queryTables/queryTable1437.xml><?xml version="1.0" encoding="utf-8"?>
<queryTable xmlns="http://schemas.openxmlformats.org/spreadsheetml/2006/main" name="DD0130040_903" connectionId="1704" autoFormatId="16" applyNumberFormats="0" applyBorderFormats="0" applyFontFormats="1" applyPatternFormats="1" applyAlignmentFormats="0" applyWidthHeightFormats="0"/>
</file>

<file path=xl/queryTables/queryTable1438.xml><?xml version="1.0" encoding="utf-8"?>
<queryTable xmlns="http://schemas.openxmlformats.org/spreadsheetml/2006/main" name="DD0130040_713" connectionId="140" autoFormatId="16" applyNumberFormats="0" applyBorderFormats="0" applyFontFormats="1" applyPatternFormats="1" applyAlignmentFormats="0" applyWidthHeightFormats="0"/>
</file>

<file path=xl/queryTables/queryTable1439.xml><?xml version="1.0" encoding="utf-8"?>
<queryTable xmlns="http://schemas.openxmlformats.org/spreadsheetml/2006/main" name="DD0130040_1214" connectionId="1529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DD0130040_749" connectionId="99" autoFormatId="16" applyNumberFormats="0" applyBorderFormats="0" applyFontFormats="1" applyPatternFormats="1" applyAlignmentFormats="0" applyWidthHeightFormats="0"/>
</file>

<file path=xl/queryTables/queryTable1440.xml><?xml version="1.0" encoding="utf-8"?>
<queryTable xmlns="http://schemas.openxmlformats.org/spreadsheetml/2006/main" name="DD0130040_1229" connectionId="1512" autoFormatId="16" applyNumberFormats="0" applyBorderFormats="0" applyFontFormats="1" applyPatternFormats="1" applyAlignmentFormats="0" applyWidthHeightFormats="0"/>
</file>

<file path=xl/queryTables/queryTable1441.xml><?xml version="1.0" encoding="utf-8"?>
<queryTable xmlns="http://schemas.openxmlformats.org/spreadsheetml/2006/main" name="DD0130040_326" connectionId="570" autoFormatId="16" applyNumberFormats="0" applyBorderFormats="0" applyFontFormats="1" applyPatternFormats="1" applyAlignmentFormats="0" applyWidthHeightFormats="0"/>
</file>

<file path=xl/queryTables/queryTable1442.xml><?xml version="1.0" encoding="utf-8"?>
<queryTable xmlns="http://schemas.openxmlformats.org/spreadsheetml/2006/main" name="DD0130040_1195" connectionId="1550" autoFormatId="16" applyNumberFormats="0" applyBorderFormats="0" applyFontFormats="1" applyPatternFormats="1" applyAlignmentFormats="0" applyWidthHeightFormats="0"/>
</file>

<file path=xl/queryTables/queryTable1443.xml><?xml version="1.0" encoding="utf-8"?>
<queryTable xmlns="http://schemas.openxmlformats.org/spreadsheetml/2006/main" name="DD0130040_1605" connectionId="1095" autoFormatId="16" applyNumberFormats="0" applyBorderFormats="0" applyFontFormats="1" applyPatternFormats="1" applyAlignmentFormats="0" applyWidthHeightFormats="0"/>
</file>

<file path=xl/queryTables/queryTable1444.xml><?xml version="1.0" encoding="utf-8"?>
<queryTable xmlns="http://schemas.openxmlformats.org/spreadsheetml/2006/main" name="DD0130040_1054" connectionId="61" autoFormatId="16" applyNumberFormats="0" applyBorderFormats="0" applyFontFormats="1" applyPatternFormats="1" applyAlignmentFormats="0" applyWidthHeightFormats="0"/>
</file>

<file path=xl/queryTables/queryTable1445.xml><?xml version="1.0" encoding="utf-8"?>
<queryTable xmlns="http://schemas.openxmlformats.org/spreadsheetml/2006/main" name="DD0130040_1392" connectionId="1331" autoFormatId="16" applyNumberFormats="0" applyBorderFormats="0" applyFontFormats="1" applyPatternFormats="1" applyAlignmentFormats="0" applyWidthHeightFormats="0"/>
</file>

<file path=xl/queryTables/queryTable1446.xml><?xml version="1.0" encoding="utf-8"?>
<queryTable xmlns="http://schemas.openxmlformats.org/spreadsheetml/2006/main" name="DD0130040_1033" connectionId="38" autoFormatId="16" applyNumberFormats="0" applyBorderFormats="0" applyFontFormats="1" applyPatternFormats="1" applyAlignmentFormats="0" applyWidthHeightFormats="0"/>
</file>

<file path=xl/queryTables/queryTable1447.xml><?xml version="1.0" encoding="utf-8"?>
<queryTable xmlns="http://schemas.openxmlformats.org/spreadsheetml/2006/main" name="DD0130040_1822" connectionId="567" autoFormatId="16" applyNumberFormats="0" applyBorderFormats="0" applyFontFormats="1" applyPatternFormats="1" applyAlignmentFormats="0" applyWidthHeightFormats="0"/>
</file>

<file path=xl/queryTables/queryTable1448.xml><?xml version="1.0" encoding="utf-8"?>
<queryTable xmlns="http://schemas.openxmlformats.org/spreadsheetml/2006/main" name="DD0130040_679" connectionId="177" autoFormatId="16" applyNumberFormats="0" applyBorderFormats="0" applyFontFormats="1" applyPatternFormats="1" applyAlignmentFormats="0" applyWidthHeightFormats="0"/>
</file>

<file path=xl/queryTables/queryTable1449.xml><?xml version="1.0" encoding="utf-8"?>
<queryTable xmlns="http://schemas.openxmlformats.org/spreadsheetml/2006/main" name="DD0130040_825" connectionId="986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DD0130040_1066" connectionId="74" autoFormatId="16" applyNumberFormats="0" applyBorderFormats="0" applyFontFormats="1" applyPatternFormats="1" applyAlignmentFormats="0" applyWidthHeightFormats="0"/>
</file>

<file path=xl/queryTables/queryTable1450.xml><?xml version="1.0" encoding="utf-8"?>
<queryTable xmlns="http://schemas.openxmlformats.org/spreadsheetml/2006/main" name="DD0130040_1181" connectionId="1565" autoFormatId="16" applyNumberFormats="0" applyBorderFormats="0" applyFontFormats="1" applyPatternFormats="1" applyAlignmentFormats="0" applyWidthHeightFormats="0"/>
</file>

<file path=xl/queryTables/queryTable1451.xml><?xml version="1.0" encoding="utf-8"?>
<queryTable xmlns="http://schemas.openxmlformats.org/spreadsheetml/2006/main" name="DD0130040_1118" connectionId="1635" autoFormatId="16" applyNumberFormats="0" applyBorderFormats="0" applyFontFormats="1" applyPatternFormats="1" applyAlignmentFormats="0" applyWidthHeightFormats="0"/>
</file>

<file path=xl/queryTables/queryTable1452.xml><?xml version="1.0" encoding="utf-8"?>
<queryTable xmlns="http://schemas.openxmlformats.org/spreadsheetml/2006/main" name="DD0130040_1788" connectionId="1247" autoFormatId="16" applyNumberFormats="0" applyBorderFormats="0" applyFontFormats="1" applyPatternFormats="1" applyAlignmentFormats="0" applyWidthHeightFormats="0"/>
</file>

<file path=xl/queryTables/queryTable1453.xml><?xml version="1.0" encoding="utf-8"?>
<queryTable xmlns="http://schemas.openxmlformats.org/spreadsheetml/2006/main" name="DD0130040_378" connectionId="511" autoFormatId="16" applyNumberFormats="0" applyBorderFormats="0" applyFontFormats="1" applyPatternFormats="1" applyAlignmentFormats="0" applyWidthHeightFormats="0"/>
</file>

<file path=xl/queryTables/queryTable1454.xml><?xml version="1.0" encoding="utf-8"?>
<queryTable xmlns="http://schemas.openxmlformats.org/spreadsheetml/2006/main" name="DD0130040_838" connectionId="972" autoFormatId="16" applyNumberFormats="0" applyBorderFormats="0" applyFontFormats="1" applyPatternFormats="1" applyAlignmentFormats="0" applyWidthHeightFormats="0"/>
</file>

<file path=xl/queryTables/queryTable1455.xml><?xml version="1.0" encoding="utf-8"?>
<queryTable xmlns="http://schemas.openxmlformats.org/spreadsheetml/2006/main" name="DD0130040_1792" connectionId="1203" autoFormatId="16" applyNumberFormats="0" applyBorderFormats="0" applyFontFormats="1" applyPatternFormats="1" applyAlignmentFormats="0" applyWidthHeightFormats="0"/>
</file>

<file path=xl/queryTables/queryTable1456.xml><?xml version="1.0" encoding="utf-8"?>
<queryTable xmlns="http://schemas.openxmlformats.org/spreadsheetml/2006/main" name="DD0130040_1942" connectionId="718" autoFormatId="16" applyNumberFormats="0" applyBorderFormats="0" applyFontFormats="1" applyPatternFormats="1" applyAlignmentFormats="0" applyWidthHeightFormats="0"/>
</file>

<file path=xl/queryTables/queryTable1457.xml><?xml version="1.0" encoding="utf-8"?>
<queryTable xmlns="http://schemas.openxmlformats.org/spreadsheetml/2006/main" name="DD0130040_694" connectionId="161" autoFormatId="16" applyNumberFormats="0" applyBorderFormats="0" applyFontFormats="1" applyPatternFormats="1" applyAlignmentFormats="0" applyWidthHeightFormats="0"/>
</file>

<file path=xl/queryTables/queryTable1458.xml><?xml version="1.0" encoding="utf-8"?>
<queryTable xmlns="http://schemas.openxmlformats.org/spreadsheetml/2006/main" name="DD0130040_1870" connectionId="638" autoFormatId="16" applyNumberFormats="0" applyBorderFormats="0" applyFontFormats="1" applyPatternFormats="1" applyAlignmentFormats="0" applyWidthHeightFormats="0"/>
</file>

<file path=xl/queryTables/queryTable1459.xml><?xml version="1.0" encoding="utf-8"?>
<queryTable xmlns="http://schemas.openxmlformats.org/spreadsheetml/2006/main" name="DD0130040_539" connectionId="332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DD0130040_494" connectionId="383" autoFormatId="16" applyNumberFormats="0" applyBorderFormats="0" applyFontFormats="1" applyPatternFormats="1" applyAlignmentFormats="0" applyWidthHeightFormats="0"/>
</file>

<file path=xl/queryTables/queryTable1460.xml><?xml version="1.0" encoding="utf-8"?>
<queryTable xmlns="http://schemas.openxmlformats.org/spreadsheetml/2006/main" name="DD0130040_941" connectionId="1746" autoFormatId="16" applyNumberFormats="0" applyBorderFormats="0" applyFontFormats="1" applyPatternFormats="1" applyAlignmentFormats="0" applyWidthHeightFormats="0"/>
</file>

<file path=xl/queryTables/queryTable1461.xml><?xml version="1.0" encoding="utf-8"?>
<queryTable xmlns="http://schemas.openxmlformats.org/spreadsheetml/2006/main" name="DD0130040_678" connectionId="178" autoFormatId="16" applyNumberFormats="0" applyBorderFormats="0" applyFontFormats="1" applyPatternFormats="1" applyAlignmentFormats="0" applyWidthHeightFormats="0"/>
</file>

<file path=xl/queryTables/queryTable1462.xml><?xml version="1.0" encoding="utf-8"?>
<queryTable xmlns="http://schemas.openxmlformats.org/spreadsheetml/2006/main" name="DD0130040_784" connectionId="1031" autoFormatId="16" applyNumberFormats="0" applyBorderFormats="0" applyFontFormats="1" applyPatternFormats="1" applyAlignmentFormats="0" applyWidthHeightFormats="0"/>
</file>

<file path=xl/queryTables/queryTable1463.xml><?xml version="1.0" encoding="utf-8"?>
<queryTable xmlns="http://schemas.openxmlformats.org/spreadsheetml/2006/main" name="DD0130040_974" connectionId="1783" autoFormatId="16" applyNumberFormats="0" applyBorderFormats="0" applyFontFormats="1" applyPatternFormats="1" applyAlignmentFormats="0" applyWidthHeightFormats="0"/>
</file>

<file path=xl/queryTables/queryTable1464.xml><?xml version="1.0" encoding="utf-8"?>
<queryTable xmlns="http://schemas.openxmlformats.org/spreadsheetml/2006/main" name="DD0130040_1957" connectionId="734" autoFormatId="16" applyNumberFormats="0" applyBorderFormats="0" applyFontFormats="1" applyPatternFormats="1" applyAlignmentFormats="0" applyWidthHeightFormats="0"/>
</file>

<file path=xl/queryTables/queryTable1465.xml><?xml version="1.0" encoding="utf-8"?>
<queryTable xmlns="http://schemas.openxmlformats.org/spreadsheetml/2006/main" name="DD0130040_779" connectionId="1037" autoFormatId="16" applyNumberFormats="0" applyBorderFormats="0" applyFontFormats="1" applyPatternFormats="1" applyAlignmentFormats="0" applyWidthHeightFormats="0"/>
</file>

<file path=xl/queryTables/queryTable1466.xml><?xml version="1.0" encoding="utf-8"?>
<queryTable xmlns="http://schemas.openxmlformats.org/spreadsheetml/2006/main" name="DD0130040_840" connectionId="969" autoFormatId="16" applyNumberFormats="0" applyBorderFormats="0" applyFontFormats="1" applyPatternFormats="1" applyAlignmentFormats="0" applyWidthHeightFormats="0"/>
</file>

<file path=xl/queryTables/queryTable1467.xml><?xml version="1.0" encoding="utf-8"?>
<queryTable xmlns="http://schemas.openxmlformats.org/spreadsheetml/2006/main" name="DD0130040_1088" connectionId="1668" autoFormatId="16" applyNumberFormats="0" applyBorderFormats="0" applyFontFormats="1" applyPatternFormats="1" applyAlignmentFormats="0" applyWidthHeightFormats="0"/>
</file>

<file path=xl/queryTables/queryTable1468.xml><?xml version="1.0" encoding="utf-8"?>
<queryTable xmlns="http://schemas.openxmlformats.org/spreadsheetml/2006/main" name="DD0130040_1271" connectionId="1465" autoFormatId="16" applyNumberFormats="0" applyBorderFormats="0" applyFontFormats="1" applyPatternFormats="1" applyAlignmentFormats="0" applyWidthHeightFormats="0"/>
</file>

<file path=xl/queryTables/queryTable1469.xml><?xml version="1.0" encoding="utf-8"?>
<queryTable xmlns="http://schemas.openxmlformats.org/spreadsheetml/2006/main" name="DD0130040_1633" connectionId="1064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DD0130040_1607" connectionId="1093" autoFormatId="16" applyNumberFormats="0" applyBorderFormats="0" applyFontFormats="1" applyPatternFormats="1" applyAlignmentFormats="0" applyWidthHeightFormats="0"/>
</file>

<file path=xl/queryTables/queryTable1470.xml><?xml version="1.0" encoding="utf-8"?>
<queryTable xmlns="http://schemas.openxmlformats.org/spreadsheetml/2006/main" name="DD0130040_701" connectionId="153" autoFormatId="16" applyNumberFormats="0" applyBorderFormats="0" applyFontFormats="1" applyPatternFormats="1" applyAlignmentFormats="0" applyWidthHeightFormats="0"/>
</file>

<file path=xl/queryTables/queryTable1471.xml><?xml version="1.0" encoding="utf-8"?>
<queryTable xmlns="http://schemas.openxmlformats.org/spreadsheetml/2006/main" name="DD0130040_1798" connectionId="1136" autoFormatId="16" applyNumberFormats="0" applyBorderFormats="0" applyFontFormats="1" applyPatternFormats="1" applyAlignmentFormats="0" applyWidthHeightFormats="0"/>
</file>

<file path=xl/queryTables/queryTable1472.xml><?xml version="1.0" encoding="utf-8"?>
<queryTable xmlns="http://schemas.openxmlformats.org/spreadsheetml/2006/main" name="DD0130040_889" connectionId="1688" autoFormatId="16" applyNumberFormats="0" applyBorderFormats="0" applyFontFormats="1" applyPatternFormats="1" applyAlignmentFormats="0" applyWidthHeightFormats="0"/>
</file>

<file path=xl/queryTables/queryTable1473.xml><?xml version="1.0" encoding="utf-8"?>
<queryTable xmlns="http://schemas.openxmlformats.org/spreadsheetml/2006/main" name="DD0130040_1878" connectionId="647" autoFormatId="16" applyNumberFormats="0" applyBorderFormats="0" applyFontFormats="1" applyPatternFormats="1" applyAlignmentFormats="0" applyWidthHeightFormats="0"/>
</file>

<file path=xl/queryTables/queryTable1474.xml><?xml version="1.0" encoding="utf-8"?>
<queryTable xmlns="http://schemas.openxmlformats.org/spreadsheetml/2006/main" name="DD0130040_1211" connectionId="1532" autoFormatId="16" applyNumberFormats="0" applyBorderFormats="0" applyFontFormats="1" applyPatternFormats="1" applyAlignmentFormats="0" applyWidthHeightFormats="0"/>
</file>

<file path=xl/queryTables/queryTable1475.xml><?xml version="1.0" encoding="utf-8"?>
<queryTable xmlns="http://schemas.openxmlformats.org/spreadsheetml/2006/main" name="DD0130040_939" connectionId="1744" autoFormatId="16" applyNumberFormats="0" applyBorderFormats="0" applyFontFormats="1" applyPatternFormats="1" applyAlignmentFormats="0" applyWidthHeightFormats="0"/>
</file>

<file path=xl/queryTables/queryTable1476.xml><?xml version="1.0" encoding="utf-8"?>
<queryTable xmlns="http://schemas.openxmlformats.org/spreadsheetml/2006/main" name="DD0130040_601" connectionId="264" autoFormatId="16" applyNumberFormats="0" applyBorderFormats="0" applyFontFormats="1" applyPatternFormats="1" applyAlignmentFormats="0" applyWidthHeightFormats="0"/>
</file>

<file path=xl/queryTables/queryTable1477.xml><?xml version="1.0" encoding="utf-8"?>
<queryTable xmlns="http://schemas.openxmlformats.org/spreadsheetml/2006/main" name="DD0130040_847" connectionId="962" autoFormatId="16" applyNumberFormats="0" applyBorderFormats="0" applyFontFormats="1" applyPatternFormats="1" applyAlignmentFormats="0" applyWidthHeightFormats="0"/>
</file>

<file path=xl/queryTables/queryTable1478.xml><?xml version="1.0" encoding="utf-8"?>
<queryTable xmlns="http://schemas.openxmlformats.org/spreadsheetml/2006/main" name="DD0130040_424" connectionId="461" autoFormatId="16" applyNumberFormats="0" applyBorderFormats="0" applyFontFormats="1" applyPatternFormats="1" applyAlignmentFormats="0" applyWidthHeightFormats="0"/>
</file>

<file path=xl/queryTables/queryTable1479.xml><?xml version="1.0" encoding="utf-8"?>
<queryTable xmlns="http://schemas.openxmlformats.org/spreadsheetml/2006/main" name="DD0130040_619" connectionId="244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DD0130040_901" connectionId="1701" autoFormatId="16" applyNumberFormats="0" applyBorderFormats="0" applyFontFormats="1" applyPatternFormats="1" applyAlignmentFormats="0" applyWidthHeightFormats="0"/>
</file>

<file path=xl/queryTables/queryTable1480.xml><?xml version="1.0" encoding="utf-8"?>
<queryTable xmlns="http://schemas.openxmlformats.org/spreadsheetml/2006/main" name="DD0130040_1286" connectionId="1449" autoFormatId="16" applyNumberFormats="0" applyBorderFormats="0" applyFontFormats="1" applyPatternFormats="1" applyAlignmentFormats="0" applyWidthHeightFormats="0"/>
</file>

<file path=xl/queryTables/queryTable1481.xml><?xml version="1.0" encoding="utf-8"?>
<queryTable xmlns="http://schemas.openxmlformats.org/spreadsheetml/2006/main" name="DD0130040_1526" connectionId="1183" autoFormatId="16" applyNumberFormats="0" applyBorderFormats="0" applyFontFormats="1" applyPatternFormats="1" applyAlignmentFormats="0" applyWidthHeightFormats="0"/>
</file>

<file path=xl/queryTables/queryTable1482.xml><?xml version="1.0" encoding="utf-8"?>
<queryTable xmlns="http://schemas.openxmlformats.org/spreadsheetml/2006/main" name="DD0130040_1101" connectionId="1654" autoFormatId="16" applyNumberFormats="0" applyBorderFormats="0" applyFontFormats="1" applyPatternFormats="1" applyAlignmentFormats="0" applyWidthHeightFormats="0"/>
</file>

<file path=xl/queryTables/queryTable1483.xml><?xml version="1.0" encoding="utf-8"?>
<queryTable xmlns="http://schemas.openxmlformats.org/spreadsheetml/2006/main" name="DD0130040_923" connectionId="1727" autoFormatId="16" applyNumberFormats="0" applyBorderFormats="0" applyFontFormats="1" applyPatternFormats="1" applyAlignmentFormats="0" applyWidthHeightFormats="0"/>
</file>

<file path=xl/queryTables/queryTable1484.xml><?xml version="1.0" encoding="utf-8"?>
<queryTable xmlns="http://schemas.openxmlformats.org/spreadsheetml/2006/main" name="DD0130040_1265" connectionId="1472" autoFormatId="16" applyNumberFormats="0" applyBorderFormats="0" applyFontFormats="1" applyPatternFormats="1" applyAlignmentFormats="0" applyWidthHeightFormats="0"/>
</file>

<file path=xl/queryTables/queryTable1485.xml><?xml version="1.0" encoding="utf-8"?>
<queryTable xmlns="http://schemas.openxmlformats.org/spreadsheetml/2006/main" name="DD0130040_916" connectionId="1719" autoFormatId="16" applyNumberFormats="0" applyBorderFormats="0" applyFontFormats="1" applyPatternFormats="1" applyAlignmentFormats="0" applyWidthHeightFormats="0"/>
</file>

<file path=xl/queryTables/queryTable1486.xml><?xml version="1.0" encoding="utf-8"?>
<queryTable xmlns="http://schemas.openxmlformats.org/spreadsheetml/2006/main" name="DD0130040_1531" connectionId="1177" autoFormatId="16" applyNumberFormats="0" applyBorderFormats="0" applyFontFormats="1" applyPatternFormats="1" applyAlignmentFormats="0" applyWidthHeightFormats="0"/>
</file>

<file path=xl/queryTables/queryTable1487.xml><?xml version="1.0" encoding="utf-8"?>
<queryTable xmlns="http://schemas.openxmlformats.org/spreadsheetml/2006/main" name="DD0130040_395" connectionId="493" autoFormatId="16" applyNumberFormats="0" applyBorderFormats="0" applyFontFormats="1" applyPatternFormats="1" applyAlignmentFormats="0" applyWidthHeightFormats="0"/>
</file>

<file path=xl/queryTables/queryTable1488.xml><?xml version="1.0" encoding="utf-8"?>
<queryTable xmlns="http://schemas.openxmlformats.org/spreadsheetml/2006/main" name="DD0130040_1525" connectionId="1184" autoFormatId="16" applyNumberFormats="0" applyBorderFormats="0" applyFontFormats="1" applyPatternFormats="1" applyAlignmentFormats="0" applyWidthHeightFormats="0"/>
</file>

<file path=xl/queryTables/queryTable1489.xml><?xml version="1.0" encoding="utf-8"?>
<queryTable xmlns="http://schemas.openxmlformats.org/spreadsheetml/2006/main" name="DD0130040_781" connectionId="1034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DD0130040_1941" connectionId="717" autoFormatId="16" applyNumberFormats="0" applyBorderFormats="0" applyFontFormats="1" applyPatternFormats="1" applyAlignmentFormats="0" applyWidthHeightFormats="0"/>
</file>

<file path=xl/queryTables/queryTable1490.xml><?xml version="1.0" encoding="utf-8"?>
<queryTable xmlns="http://schemas.openxmlformats.org/spreadsheetml/2006/main" name="DD0130040_1842" connectionId="607" autoFormatId="16" applyNumberFormats="0" applyBorderFormats="0" applyFontFormats="1" applyPatternFormats="1" applyAlignmentFormats="0" applyWidthHeightFormats="0"/>
</file>

<file path=xl/queryTables/queryTable1491.xml><?xml version="1.0" encoding="utf-8"?>
<queryTable xmlns="http://schemas.openxmlformats.org/spreadsheetml/2006/main" name="DD0130040_1675" connectionId="691" autoFormatId="16" applyNumberFormats="0" applyBorderFormats="0" applyFontFormats="1" applyPatternFormats="1" applyAlignmentFormats="0" applyWidthHeightFormats="0"/>
</file>

<file path=xl/queryTables/queryTable1492.xml><?xml version="1.0" encoding="utf-8"?>
<queryTable xmlns="http://schemas.openxmlformats.org/spreadsheetml/2006/main" name="DD0130040_328" connectionId="566" autoFormatId="16" applyNumberFormats="0" applyBorderFormats="0" applyFontFormats="1" applyPatternFormats="1" applyAlignmentFormats="0" applyWidthHeightFormats="0"/>
</file>

<file path=xl/queryTables/queryTable1493.xml><?xml version="1.0" encoding="utf-8"?>
<queryTable xmlns="http://schemas.openxmlformats.org/spreadsheetml/2006/main" name="DD0130040_1754" connectionId="1625" autoFormatId="16" applyNumberFormats="0" applyBorderFormats="0" applyFontFormats="1" applyPatternFormats="1" applyAlignmentFormats="0" applyWidthHeightFormats="0"/>
</file>

<file path=xl/queryTables/queryTable1494.xml><?xml version="1.0" encoding="utf-8"?>
<queryTable xmlns="http://schemas.openxmlformats.org/spreadsheetml/2006/main" name="DD0130040_587" connectionId="279" autoFormatId="16" applyNumberFormats="0" applyBorderFormats="0" applyFontFormats="1" applyPatternFormats="1" applyAlignmentFormats="0" applyWidthHeightFormats="0"/>
</file>

<file path=xl/queryTables/queryTable1495.xml><?xml version="1.0" encoding="utf-8"?>
<queryTable xmlns="http://schemas.openxmlformats.org/spreadsheetml/2006/main" name="DD0130040_871" connectionId="934" autoFormatId="16" applyNumberFormats="0" applyBorderFormats="0" applyFontFormats="1" applyPatternFormats="1" applyAlignmentFormats="0" applyWidthHeightFormats="0"/>
</file>

<file path=xl/queryTables/queryTable1496.xml><?xml version="1.0" encoding="utf-8"?>
<queryTable xmlns="http://schemas.openxmlformats.org/spreadsheetml/2006/main" name="DD0130040_400" connectionId="487" autoFormatId="16" applyNumberFormats="0" applyBorderFormats="0" applyFontFormats="1" applyPatternFormats="1" applyAlignmentFormats="0" applyWidthHeightFormats="0"/>
</file>

<file path=xl/queryTables/queryTable1497.xml><?xml version="1.0" encoding="utf-8"?>
<queryTable xmlns="http://schemas.openxmlformats.org/spreadsheetml/2006/main" name="DD0130040_1891" connectionId="661" autoFormatId="16" applyNumberFormats="0" applyBorderFormats="0" applyFontFormats="1" applyPatternFormats="1" applyAlignmentFormats="0" applyWidthHeightFormats="0"/>
</file>

<file path=xl/queryTables/queryTable1498.xml><?xml version="1.0" encoding="utf-8"?>
<queryTable xmlns="http://schemas.openxmlformats.org/spreadsheetml/2006/main" name="DD0130040_1680" connectionId="635" autoFormatId="16" applyNumberFormats="0" applyBorderFormats="0" applyFontFormats="1" applyPatternFormats="1" applyAlignmentFormats="0" applyWidthHeightFormats="0"/>
</file>

<file path=xl/queryTables/queryTable1499.xml><?xml version="1.0" encoding="utf-8"?>
<queryTable xmlns="http://schemas.openxmlformats.org/spreadsheetml/2006/main" name="DD0130040_408" connectionId="478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DD0130040_1671" connectionId="735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DD0130040_420" connectionId="465" autoFormatId="16" applyNumberFormats="0" applyBorderFormats="0" applyFontFormats="1" applyPatternFormats="1" applyAlignmentFormats="0" applyWidthHeightFormats="0"/>
</file>

<file path=xl/queryTables/queryTable1500.xml><?xml version="1.0" encoding="utf-8"?>
<queryTable xmlns="http://schemas.openxmlformats.org/spreadsheetml/2006/main" name="DD0130040_1949" connectionId="726" autoFormatId="16" applyNumberFormats="0" applyBorderFormats="0" applyFontFormats="1" applyPatternFormats="1" applyAlignmentFormats="0" applyWidthHeightFormats="0"/>
</file>

<file path=xl/queryTables/queryTable1501.xml><?xml version="1.0" encoding="utf-8"?>
<queryTable xmlns="http://schemas.openxmlformats.org/spreadsheetml/2006/main" name="DD0130040_1358" connectionId="1368" autoFormatId="16" applyNumberFormats="0" applyBorderFormats="0" applyFontFormats="1" applyPatternFormats="1" applyAlignmentFormats="0" applyWidthHeightFormats="0"/>
</file>

<file path=xl/queryTables/queryTable1502.xml><?xml version="1.0" encoding="utf-8"?>
<queryTable xmlns="http://schemas.openxmlformats.org/spreadsheetml/2006/main" name="DD0130040_1034" connectionId="39" autoFormatId="16" applyNumberFormats="0" applyBorderFormats="0" applyFontFormats="1" applyPatternFormats="1" applyAlignmentFormats="0" applyWidthHeightFormats="0"/>
</file>

<file path=xl/queryTables/queryTable1503.xml><?xml version="1.0" encoding="utf-8"?>
<queryTable xmlns="http://schemas.openxmlformats.org/spreadsheetml/2006/main" name="DD0130040_1778" connectionId="1358" autoFormatId="16" applyNumberFormats="0" applyBorderFormats="0" applyFontFormats="1" applyPatternFormats="1" applyAlignmentFormats="0" applyWidthHeightFormats="0"/>
</file>

<file path=xl/queryTables/queryTable1504.xml><?xml version="1.0" encoding="utf-8"?>
<queryTable xmlns="http://schemas.openxmlformats.org/spreadsheetml/2006/main" name="DD0130040_693" connectionId="162" autoFormatId="16" applyNumberFormats="0" applyBorderFormats="0" applyFontFormats="1" applyPatternFormats="1" applyAlignmentFormats="0" applyWidthHeightFormats="0"/>
</file>

<file path=xl/queryTables/queryTable1505.xml><?xml version="1.0" encoding="utf-8"?>
<queryTable xmlns="http://schemas.openxmlformats.org/spreadsheetml/2006/main" name="DD0130040_1294" connectionId="1440" autoFormatId="16" applyNumberFormats="0" applyBorderFormats="0" applyFontFormats="1" applyPatternFormats="1" applyAlignmentFormats="0" applyWidthHeightFormats="0"/>
</file>

<file path=xl/queryTables/queryTable1506.xml><?xml version="1.0" encoding="utf-8"?>
<queryTable xmlns="http://schemas.openxmlformats.org/spreadsheetml/2006/main" name="DD0130040_1450" connectionId="1266" autoFormatId="16" applyNumberFormats="0" applyBorderFormats="0" applyFontFormats="1" applyPatternFormats="1" applyAlignmentFormats="0" applyWidthHeightFormats="0"/>
</file>

<file path=xl/queryTables/queryTable1507.xml><?xml version="1.0" encoding="utf-8"?>
<queryTable xmlns="http://schemas.openxmlformats.org/spreadsheetml/2006/main" name="DD0130040_1628" connectionId="1069" autoFormatId="16" applyNumberFormats="0" applyBorderFormats="0" applyFontFormats="1" applyPatternFormats="1" applyAlignmentFormats="0" applyWidthHeightFormats="0"/>
</file>

<file path=xl/queryTables/queryTable1508.xml><?xml version="1.0" encoding="utf-8"?>
<queryTable xmlns="http://schemas.openxmlformats.org/spreadsheetml/2006/main" name="DD0130040_897" connectionId="1697" autoFormatId="16" applyNumberFormats="0" applyBorderFormats="0" applyFontFormats="1" applyPatternFormats="1" applyAlignmentFormats="0" applyWidthHeightFormats="0"/>
</file>

<file path=xl/queryTables/queryTable1509.xml><?xml version="1.0" encoding="utf-8"?>
<queryTable xmlns="http://schemas.openxmlformats.org/spreadsheetml/2006/main" name="DD0130040_1176" connectionId="1571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DD0130040_1139" connectionId="1612" autoFormatId="16" applyNumberFormats="0" applyBorderFormats="0" applyFontFormats="1" applyPatternFormats="1" applyAlignmentFormats="0" applyWidthHeightFormats="0"/>
</file>

<file path=xl/queryTables/queryTable1510.xml><?xml version="1.0" encoding="utf-8"?>
<queryTable xmlns="http://schemas.openxmlformats.org/spreadsheetml/2006/main" name="DD0130040_556" connectionId="314" autoFormatId="16" applyNumberFormats="0" applyBorderFormats="0" applyFontFormats="1" applyPatternFormats="1" applyAlignmentFormats="0" applyWidthHeightFormats="0"/>
</file>

<file path=xl/queryTables/queryTable1511.xml><?xml version="1.0" encoding="utf-8"?>
<queryTable xmlns="http://schemas.openxmlformats.org/spreadsheetml/2006/main" name="DD0130040_1137" connectionId="1615" autoFormatId="16" applyNumberFormats="0" applyBorderFormats="0" applyFontFormats="1" applyPatternFormats="1" applyAlignmentFormats="0" applyWidthHeightFormats="0"/>
</file>

<file path=xl/queryTables/queryTable1512.xml><?xml version="1.0" encoding="utf-8"?>
<queryTable xmlns="http://schemas.openxmlformats.org/spreadsheetml/2006/main" name="DD0130040_1169" connectionId="1578" autoFormatId="16" applyNumberFormats="0" applyBorderFormats="0" applyFontFormats="1" applyPatternFormats="1" applyAlignmentFormats="0" applyWidthHeightFormats="0"/>
</file>

<file path=xl/queryTables/queryTable1513.xml><?xml version="1.0" encoding="utf-8"?>
<queryTable xmlns="http://schemas.openxmlformats.org/spreadsheetml/2006/main" name="DD0130040_1151" connectionId="1598" autoFormatId="16" applyNumberFormats="0" applyBorderFormats="0" applyFontFormats="1" applyPatternFormats="1" applyAlignmentFormats="0" applyWidthHeightFormats="0"/>
</file>

<file path=xl/queryTables/queryTable1514.xml><?xml version="1.0" encoding="utf-8"?>
<queryTable xmlns="http://schemas.openxmlformats.org/spreadsheetml/2006/main" name="DD0130040_767" connectionId="1051" autoFormatId="16" applyNumberFormats="0" applyBorderFormats="0" applyFontFormats="1" applyPatternFormats="1" applyAlignmentFormats="0" applyWidthHeightFormats="0"/>
</file>

<file path=xl/queryTables/queryTable1515.xml><?xml version="1.0" encoding="utf-8"?>
<queryTable xmlns="http://schemas.openxmlformats.org/spreadsheetml/2006/main" name="DD0130040_849" connectionId="960" autoFormatId="16" applyNumberFormats="0" applyBorderFormats="0" applyFontFormats="1" applyPatternFormats="1" applyAlignmentFormats="0" applyWidthHeightFormats="0"/>
</file>

<file path=xl/queryTables/queryTable1516.xml><?xml version="1.0" encoding="utf-8"?>
<queryTable xmlns="http://schemas.openxmlformats.org/spreadsheetml/2006/main" name="DD0130040_1583" connectionId="1119" autoFormatId="16" applyNumberFormats="0" applyBorderFormats="0" applyFontFormats="1" applyPatternFormats="1" applyAlignmentFormats="0" applyWidthHeightFormats="0"/>
</file>

<file path=xl/queryTables/queryTable1517.xml><?xml version="1.0" encoding="utf-8"?>
<queryTable xmlns="http://schemas.openxmlformats.org/spreadsheetml/2006/main" name="DD0130040_1971" connectionId="750" autoFormatId="16" applyNumberFormats="0" applyBorderFormats="0" applyFontFormats="1" applyPatternFormats="1" applyAlignmentFormats="0" applyWidthHeightFormats="0"/>
</file>

<file path=xl/queryTables/queryTable1518.xml><?xml version="1.0" encoding="utf-8"?>
<queryTable xmlns="http://schemas.openxmlformats.org/spreadsheetml/2006/main" name="DD0130040_1167" connectionId="1581" autoFormatId="16" applyNumberFormats="0" applyBorderFormats="0" applyFontFormats="1" applyPatternFormats="1" applyAlignmentFormats="0" applyWidthHeightFormats="0"/>
</file>

<file path=xl/queryTables/queryTable1519.xml><?xml version="1.0" encoding="utf-8"?>
<queryTable xmlns="http://schemas.openxmlformats.org/spreadsheetml/2006/main" name="DD0130040_1451" connectionId="1265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DD0130040_533" connectionId="339" autoFormatId="16" applyNumberFormats="0" applyBorderFormats="0" applyFontFormats="1" applyPatternFormats="1" applyAlignmentFormats="0" applyWidthHeightFormats="0"/>
</file>

<file path=xl/queryTables/queryTable1520.xml><?xml version="1.0" encoding="utf-8"?>
<queryTable xmlns="http://schemas.openxmlformats.org/spreadsheetml/2006/main" name="DD0130040_2011" connectionId="795" autoFormatId="16" applyNumberFormats="0" applyBorderFormats="0" applyFontFormats="1" applyPatternFormats="1" applyAlignmentFormats="0" applyWidthHeightFormats="0"/>
</file>

<file path=xl/queryTables/queryTable1521.xml><?xml version="1.0" encoding="utf-8"?>
<queryTable xmlns="http://schemas.openxmlformats.org/spreadsheetml/2006/main" name="DD0130040_1925" connectionId="699" autoFormatId="16" applyNumberFormats="0" applyBorderFormats="0" applyFontFormats="1" applyPatternFormats="1" applyAlignmentFormats="0" applyWidthHeightFormats="0"/>
</file>

<file path=xl/queryTables/queryTable1522.xml><?xml version="1.0" encoding="utf-8"?>
<queryTable xmlns="http://schemas.openxmlformats.org/spreadsheetml/2006/main" name="DD0130040_1262" connectionId="1475" autoFormatId="16" applyNumberFormats="0" applyBorderFormats="0" applyFontFormats="1" applyPatternFormats="1" applyAlignmentFormats="0" applyWidthHeightFormats="0"/>
</file>

<file path=xl/queryTables/queryTable1523.xml><?xml version="1.0" encoding="utf-8"?>
<queryTable xmlns="http://schemas.openxmlformats.org/spreadsheetml/2006/main" name="DD0130040_302" connectionId="596" autoFormatId="16" applyNumberFormats="0" applyBorderFormats="0" applyFontFormats="1" applyPatternFormats="1" applyAlignmentFormats="0" applyWidthHeightFormats="0"/>
</file>

<file path=xl/queryTables/queryTable1524.xml><?xml version="1.0" encoding="utf-8"?>
<queryTable xmlns="http://schemas.openxmlformats.org/spreadsheetml/2006/main" name="DD0130040_1770" connectionId="1447" autoFormatId="16" applyNumberFormats="0" applyBorderFormats="0" applyFontFormats="1" applyPatternFormats="1" applyAlignmentFormats="0" applyWidthHeightFormats="0"/>
</file>

<file path=xl/queryTables/queryTable1525.xml><?xml version="1.0" encoding="utf-8"?>
<queryTable xmlns="http://schemas.openxmlformats.org/spreadsheetml/2006/main" name="DD0130040_1020" connectionId="23" autoFormatId="16" applyNumberFormats="0" applyBorderFormats="0" applyFontFormats="1" applyPatternFormats="1" applyAlignmentFormats="0" applyWidthHeightFormats="0"/>
</file>

<file path=xl/queryTables/queryTable1526.xml><?xml version="1.0" encoding="utf-8"?>
<queryTable xmlns="http://schemas.openxmlformats.org/spreadsheetml/2006/main" name="DD0130040_1649" connectionId="911" autoFormatId="16" applyNumberFormats="0" applyBorderFormats="0" applyFontFormats="1" applyPatternFormats="1" applyAlignmentFormats="0" applyWidthHeightFormats="0"/>
</file>

<file path=xl/queryTables/queryTable1527.xml><?xml version="1.0" encoding="utf-8"?>
<queryTable xmlns="http://schemas.openxmlformats.org/spreadsheetml/2006/main" name="DD0130040_1237" connectionId="1504" autoFormatId="16" applyNumberFormats="0" applyBorderFormats="0" applyFontFormats="1" applyPatternFormats="1" applyAlignmentFormats="0" applyWidthHeightFormats="0"/>
</file>

<file path=xl/queryTables/queryTable1528.xml><?xml version="1.0" encoding="utf-8"?>
<queryTable xmlns="http://schemas.openxmlformats.org/spreadsheetml/2006/main" name="DD0130040_570" connectionId="298" autoFormatId="16" applyNumberFormats="0" applyBorderFormats="0" applyFontFormats="1" applyPatternFormats="1" applyAlignmentFormats="0" applyWidthHeightFormats="0"/>
</file>

<file path=xl/queryTables/queryTable1529.xml><?xml version="1.0" encoding="utf-8"?>
<queryTable xmlns="http://schemas.openxmlformats.org/spreadsheetml/2006/main" name="DD0130040_1376" connectionId="1349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DD0130040_1548" connectionId="1158" autoFormatId="16" applyNumberFormats="0" applyBorderFormats="0" applyFontFormats="1" applyPatternFormats="1" applyAlignmentFormats="0" applyWidthHeightFormats="0"/>
</file>

<file path=xl/queryTables/queryTable1530.xml><?xml version="1.0" encoding="utf-8"?>
<queryTable xmlns="http://schemas.openxmlformats.org/spreadsheetml/2006/main" name="DD0130040_342" connectionId="551" autoFormatId="16" applyNumberFormats="0" applyBorderFormats="0" applyFontFormats="1" applyPatternFormats="1" applyAlignmentFormats="0" applyWidthHeightFormats="0"/>
</file>

<file path=xl/queryTables/queryTable1531.xml><?xml version="1.0" encoding="utf-8"?>
<queryTable xmlns="http://schemas.openxmlformats.org/spreadsheetml/2006/main" name="DD0130040_691" connectionId="164" autoFormatId="16" applyNumberFormats="0" applyBorderFormats="0" applyFontFormats="1" applyPatternFormats="1" applyAlignmentFormats="0" applyWidthHeightFormats="0"/>
</file>

<file path=xl/queryTables/queryTable1532.xml><?xml version="1.0" encoding="utf-8"?>
<queryTable xmlns="http://schemas.openxmlformats.org/spreadsheetml/2006/main" name="DD0130040_948" connectionId="1754" autoFormatId="16" applyNumberFormats="0" applyBorderFormats="0" applyFontFormats="1" applyPatternFormats="1" applyAlignmentFormats="0" applyWidthHeightFormats="0"/>
</file>

<file path=xl/queryTables/queryTable1533.xml><?xml version="1.0" encoding="utf-8"?>
<queryTable xmlns="http://schemas.openxmlformats.org/spreadsheetml/2006/main" name="DD0130040_1927" connectionId="701" autoFormatId="16" applyNumberFormats="0" applyBorderFormats="0" applyFontFormats="1" applyPatternFormats="1" applyAlignmentFormats="0" applyWidthHeightFormats="0"/>
</file>

<file path=xl/queryTables/queryTable1534.xml><?xml version="1.0" encoding="utf-8"?>
<queryTable xmlns="http://schemas.openxmlformats.org/spreadsheetml/2006/main" name="DD0130040_373" connectionId="517" autoFormatId="16" applyNumberFormats="0" applyBorderFormats="0" applyFontFormats="1" applyPatternFormats="1" applyAlignmentFormats="0" applyWidthHeightFormats="0"/>
</file>

<file path=xl/queryTables/queryTable1535.xml><?xml version="1.0" encoding="utf-8"?>
<queryTable xmlns="http://schemas.openxmlformats.org/spreadsheetml/2006/main" name="DD0130040_1357" connectionId="1370" autoFormatId="16" applyNumberFormats="0" applyBorderFormats="0" applyFontFormats="1" applyPatternFormats="1" applyAlignmentFormats="0" applyWidthHeightFormats="0"/>
</file>

<file path=xl/queryTables/queryTable1536.xml><?xml version="1.0" encoding="utf-8"?>
<queryTable xmlns="http://schemas.openxmlformats.org/spreadsheetml/2006/main" name="DD0130040_1575" connectionId="1128" autoFormatId="16" applyNumberFormats="0" applyBorderFormats="0" applyFontFormats="1" applyPatternFormats="1" applyAlignmentFormats="0" applyWidthHeightFormats="0"/>
</file>

<file path=xl/queryTables/queryTable1537.xml><?xml version="1.0" encoding="utf-8"?>
<queryTable xmlns="http://schemas.openxmlformats.org/spreadsheetml/2006/main" name="DD0130040_1812" connectionId="981" autoFormatId="16" applyNumberFormats="0" applyBorderFormats="0" applyFontFormats="1" applyPatternFormats="1" applyAlignmentFormats="0" applyWidthHeightFormats="0"/>
</file>

<file path=xl/queryTables/queryTable1538.xml><?xml version="1.0" encoding="utf-8"?>
<queryTable xmlns="http://schemas.openxmlformats.org/spreadsheetml/2006/main" name="DD0130040_966" connectionId="1774" autoFormatId="16" applyNumberFormats="0" applyBorderFormats="0" applyFontFormats="1" applyPatternFormats="1" applyAlignmentFormats="0" applyWidthHeightFormats="0"/>
</file>

<file path=xl/queryTables/queryTable1539.xml><?xml version="1.0" encoding="utf-8"?>
<queryTable xmlns="http://schemas.openxmlformats.org/spreadsheetml/2006/main" name="DD0130040_501" connectionId="375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DD0130040_314" connectionId="583" autoFormatId="16" applyNumberFormats="0" applyBorderFormats="0" applyFontFormats="1" applyPatternFormats="1" applyAlignmentFormats="0" applyWidthHeightFormats="0"/>
</file>

<file path=xl/queryTables/queryTable1540.xml><?xml version="1.0" encoding="utf-8"?>
<queryTable xmlns="http://schemas.openxmlformats.org/spreadsheetml/2006/main" name="DD0130040_1094" connectionId="1662" autoFormatId="16" applyNumberFormats="0" applyBorderFormats="0" applyFontFormats="1" applyPatternFormats="1" applyAlignmentFormats="0" applyWidthHeightFormats="0"/>
</file>

<file path=xl/queryTables/queryTable1541.xml><?xml version="1.0" encoding="utf-8"?>
<queryTable xmlns="http://schemas.openxmlformats.org/spreadsheetml/2006/main" name="DD0130040_954" connectionId="1761" autoFormatId="16" applyNumberFormats="0" applyBorderFormats="0" applyFontFormats="1" applyPatternFormats="1" applyAlignmentFormats="0" applyWidthHeightFormats="0"/>
</file>

<file path=xl/queryTables/queryTable1542.xml><?xml version="1.0" encoding="utf-8"?>
<queryTable xmlns="http://schemas.openxmlformats.org/spreadsheetml/2006/main" name="DD0130040_612" connectionId="252" autoFormatId="16" applyNumberFormats="0" applyBorderFormats="0" applyFontFormats="1" applyPatternFormats="1" applyAlignmentFormats="0" applyWidthHeightFormats="0"/>
</file>

<file path=xl/queryTables/queryTable1543.xml><?xml version="1.0" encoding="utf-8"?>
<queryTable xmlns="http://schemas.openxmlformats.org/spreadsheetml/2006/main" name="DD0130040_362" connectionId="529" autoFormatId="16" applyNumberFormats="0" applyBorderFormats="0" applyFontFormats="1" applyPatternFormats="1" applyAlignmentFormats="0" applyWidthHeightFormats="0"/>
</file>

<file path=xl/queryTables/queryTable1544.xml><?xml version="1.0" encoding="utf-8"?>
<queryTable xmlns="http://schemas.openxmlformats.org/spreadsheetml/2006/main" name="DD0130040_1733" connectionId="47" autoFormatId="16" applyNumberFormats="0" applyBorderFormats="0" applyFontFormats="1" applyPatternFormats="1" applyAlignmentFormats="0" applyWidthHeightFormats="0"/>
</file>

<file path=xl/queryTables/queryTable1545.xml><?xml version="1.0" encoding="utf-8"?>
<queryTable xmlns="http://schemas.openxmlformats.org/spreadsheetml/2006/main" name="DD0130040_1944" connectionId="720" autoFormatId="16" applyNumberFormats="0" applyBorderFormats="0" applyFontFormats="1" applyPatternFormats="1" applyAlignmentFormats="0" applyWidthHeightFormats="0"/>
</file>

<file path=xl/queryTables/queryTable1546.xml><?xml version="1.0" encoding="utf-8"?>
<queryTable xmlns="http://schemas.openxmlformats.org/spreadsheetml/2006/main" name="DD0130040_1275" connectionId="1461" autoFormatId="16" applyNumberFormats="0" applyBorderFormats="0" applyFontFormats="1" applyPatternFormats="1" applyAlignmentFormats="0" applyWidthHeightFormats="0"/>
</file>

<file path=xl/queryTables/queryTable1547.xml><?xml version="1.0" encoding="utf-8"?>
<queryTable xmlns="http://schemas.openxmlformats.org/spreadsheetml/2006/main" name="DD0130040_830" connectionId="980" autoFormatId="16" applyNumberFormats="0" applyBorderFormats="0" applyFontFormats="1" applyPatternFormats="1" applyAlignmentFormats="0" applyWidthHeightFormats="0"/>
</file>

<file path=xl/queryTables/queryTable1548.xml><?xml version="1.0" encoding="utf-8"?>
<queryTable xmlns="http://schemas.openxmlformats.org/spreadsheetml/2006/main" name="DD0130040_470" connectionId="409" autoFormatId="16" applyNumberFormats="0" applyBorderFormats="0" applyFontFormats="1" applyPatternFormats="1" applyAlignmentFormats="0" applyWidthHeightFormats="0"/>
</file>

<file path=xl/queryTables/queryTable1549.xml><?xml version="1.0" encoding="utf-8"?>
<queryTable xmlns="http://schemas.openxmlformats.org/spreadsheetml/2006/main" name="DD0130040_518" connectionId="356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DD0130040_459" connectionId="421" autoFormatId="16" applyNumberFormats="0" applyBorderFormats="0" applyFontFormats="1" applyPatternFormats="1" applyAlignmentFormats="0" applyWidthHeightFormats="0"/>
</file>

<file path=xl/queryTables/queryTable1550.xml><?xml version="1.0" encoding="utf-8"?>
<queryTable xmlns="http://schemas.openxmlformats.org/spreadsheetml/2006/main" name="DD0130040_1055" connectionId="62" autoFormatId="16" applyNumberFormats="0" applyBorderFormats="0" applyFontFormats="1" applyPatternFormats="1" applyAlignmentFormats="0" applyWidthHeightFormats="0"/>
</file>

<file path=xl/queryTables/queryTable1551.xml><?xml version="1.0" encoding="utf-8"?>
<queryTable xmlns="http://schemas.openxmlformats.org/spreadsheetml/2006/main" name="DD0130040_637" connectionId="223" autoFormatId="16" applyNumberFormats="0" applyBorderFormats="0" applyFontFormats="1" applyPatternFormats="1" applyAlignmentFormats="0" applyWidthHeightFormats="0"/>
</file>

<file path=xl/queryTables/queryTable1552.xml><?xml version="1.0" encoding="utf-8"?>
<queryTable xmlns="http://schemas.openxmlformats.org/spreadsheetml/2006/main" name="DD0130040_1688" connectionId="546" autoFormatId="16" applyNumberFormats="0" applyBorderFormats="0" applyFontFormats="1" applyPatternFormats="1" applyAlignmentFormats="0" applyWidthHeightFormats="0"/>
</file>

<file path=xl/queryTables/queryTable1553.xml><?xml version="1.0" encoding="utf-8"?>
<queryTable xmlns="http://schemas.openxmlformats.org/spreadsheetml/2006/main" name="DD0130040_1122" connectionId="1631" autoFormatId="16" applyNumberFormats="0" applyBorderFormats="0" applyFontFormats="1" applyPatternFormats="1" applyAlignmentFormats="0" applyWidthHeightFormats="0"/>
</file>

<file path=xl/queryTables/queryTable1554.xml><?xml version="1.0" encoding="utf-8"?>
<queryTable xmlns="http://schemas.openxmlformats.org/spreadsheetml/2006/main" name="DD0130040_2106" connectionId="899" autoFormatId="16" applyNumberFormats="0" applyBorderFormats="0" applyFontFormats="1" applyPatternFormats="1" applyAlignmentFormats="0" applyWidthHeightFormats="0"/>
</file>

<file path=xl/queryTables/queryTable1555.xml><?xml version="1.0" encoding="utf-8"?>
<queryTable xmlns="http://schemas.openxmlformats.org/spreadsheetml/2006/main" name="DD0130040_372" connectionId="518" autoFormatId="16" applyNumberFormats="0" applyBorderFormats="0" applyFontFormats="1" applyPatternFormats="1" applyAlignmentFormats="0" applyWidthHeightFormats="0"/>
</file>

<file path=xl/queryTables/queryTable1556.xml><?xml version="1.0" encoding="utf-8"?>
<queryTable xmlns="http://schemas.openxmlformats.org/spreadsheetml/2006/main" name="DD0130040_1612" connectionId="1087" autoFormatId="16" applyNumberFormats="0" applyBorderFormats="0" applyFontFormats="1" applyPatternFormats="1" applyAlignmentFormats="0" applyWidthHeightFormats="0"/>
</file>

<file path=xl/queryTables/queryTable1557.xml><?xml version="1.0" encoding="utf-8"?>
<queryTable xmlns="http://schemas.openxmlformats.org/spreadsheetml/2006/main" name="DD0130040_902" connectionId="1703" autoFormatId="16" applyNumberFormats="0" applyBorderFormats="0" applyFontFormats="1" applyPatternFormats="1" applyAlignmentFormats="0" applyWidthHeightFormats="0"/>
</file>

<file path=xl/queryTables/queryTable1558.xml><?xml version="1.0" encoding="utf-8"?>
<queryTable xmlns="http://schemas.openxmlformats.org/spreadsheetml/2006/main" name="DD0130040_1784" connectionId="1292" autoFormatId="16" applyNumberFormats="0" applyBorderFormats="0" applyFontFormats="1" applyPatternFormats="1" applyAlignmentFormats="0" applyWidthHeightFormats="0"/>
</file>

<file path=xl/queryTables/queryTable1559.xml><?xml version="1.0" encoding="utf-8"?>
<queryTable xmlns="http://schemas.openxmlformats.org/spreadsheetml/2006/main" name="DD0130040_1914" connectionId="687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DD0130040_582" connectionId="285" autoFormatId="16" applyNumberFormats="0" applyBorderFormats="0" applyFontFormats="1" applyPatternFormats="1" applyAlignmentFormats="0" applyWidthHeightFormats="0"/>
</file>

<file path=xl/queryTables/queryTable1560.xml><?xml version="1.0" encoding="utf-8"?>
<queryTable xmlns="http://schemas.openxmlformats.org/spreadsheetml/2006/main" name="DD0130040_1420" connectionId="1300" autoFormatId="16" applyNumberFormats="0" applyBorderFormats="0" applyFontFormats="1" applyPatternFormats="1" applyAlignmentFormats="0" applyWidthHeightFormats="0"/>
</file>

<file path=xl/queryTables/queryTable1561.xml><?xml version="1.0" encoding="utf-8"?>
<queryTable xmlns="http://schemas.openxmlformats.org/spreadsheetml/2006/main" name="DD0130040_1007" connectionId="8" autoFormatId="16" applyNumberFormats="0" applyBorderFormats="0" applyFontFormats="1" applyPatternFormats="1" applyAlignmentFormats="0" applyWidthHeightFormats="0"/>
</file>

<file path=xl/queryTables/queryTable1562.xml><?xml version="1.0" encoding="utf-8"?>
<queryTable xmlns="http://schemas.openxmlformats.org/spreadsheetml/2006/main" name="DD0130040_703" connectionId="151" autoFormatId="16" applyNumberFormats="0" applyBorderFormats="0" applyFontFormats="1" applyPatternFormats="1" applyAlignmentFormats="0" applyWidthHeightFormats="0"/>
</file>

<file path=xl/queryTables/queryTable1563.xml><?xml version="1.0" encoding="utf-8"?>
<queryTable xmlns="http://schemas.openxmlformats.org/spreadsheetml/2006/main" name="DD0130040_1412" connectionId="1309" autoFormatId="16" applyNumberFormats="0" applyBorderFormats="0" applyFontFormats="1" applyPatternFormats="1" applyAlignmentFormats="0" applyWidthHeightFormats="0"/>
</file>

<file path=xl/queryTables/queryTable1564.xml><?xml version="1.0" encoding="utf-8"?>
<queryTable xmlns="http://schemas.openxmlformats.org/spreadsheetml/2006/main" name="DD0130040_449" connectionId="432" autoFormatId="16" applyNumberFormats="0" applyBorderFormats="0" applyFontFormats="1" applyPatternFormats="1" applyAlignmentFormats="0" applyWidthHeightFormats="0"/>
</file>

<file path=xl/queryTables/queryTable1565.xml><?xml version="1.0" encoding="utf-8"?>
<queryTable xmlns="http://schemas.openxmlformats.org/spreadsheetml/2006/main" name="DD0130040_1658" connectionId="879" autoFormatId="16" applyNumberFormats="0" applyBorderFormats="0" applyFontFormats="1" applyPatternFormats="1" applyAlignmentFormats="0" applyWidthHeightFormats="0"/>
</file>

<file path=xl/queryTables/queryTable1566.xml><?xml version="1.0" encoding="utf-8"?>
<queryTable xmlns="http://schemas.openxmlformats.org/spreadsheetml/2006/main" name="DD0130040_336" connectionId="558" autoFormatId="16" applyNumberFormats="0" applyBorderFormats="0" applyFontFormats="1" applyPatternFormats="1" applyAlignmentFormats="0" applyWidthHeightFormats="0"/>
</file>

<file path=xl/queryTables/queryTable1567.xml><?xml version="1.0" encoding="utf-8"?>
<queryTable xmlns="http://schemas.openxmlformats.org/spreadsheetml/2006/main" name="DD0130040_1153" connectionId="1596" autoFormatId="16" applyNumberFormats="0" applyBorderFormats="0" applyFontFormats="1" applyPatternFormats="1" applyAlignmentFormats="0" applyWidthHeightFormats="0"/>
</file>

<file path=xl/queryTables/queryTable1568.xml><?xml version="1.0" encoding="utf-8"?>
<queryTable xmlns="http://schemas.openxmlformats.org/spreadsheetml/2006/main" name="DD0130040_1894" connectionId="664" autoFormatId="16" applyNumberFormats="0" applyBorderFormats="0" applyFontFormats="1" applyPatternFormats="1" applyAlignmentFormats="0" applyWidthHeightFormats="0"/>
</file>

<file path=xl/queryTables/queryTable1569.xml><?xml version="1.0" encoding="utf-8"?>
<queryTable xmlns="http://schemas.openxmlformats.org/spreadsheetml/2006/main" name="DD0130040_367" connectionId="523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DD0130040_1405" connectionId="1317" autoFormatId="16" applyNumberFormats="0" applyBorderFormats="0" applyFontFormats="1" applyPatternFormats="1" applyAlignmentFormats="0" applyWidthHeightFormats="0"/>
</file>

<file path=xl/queryTables/queryTable1570.xml><?xml version="1.0" encoding="utf-8"?>
<queryTable xmlns="http://schemas.openxmlformats.org/spreadsheetml/2006/main" name="DD0130040_2044" connectionId="831" autoFormatId="16" applyNumberFormats="0" applyBorderFormats="0" applyFontFormats="1" applyPatternFormats="1" applyAlignmentFormats="0" applyWidthHeightFormats="0"/>
</file>

<file path=xl/queryTables/queryTable1571.xml><?xml version="1.0" encoding="utf-8"?>
<queryTable xmlns="http://schemas.openxmlformats.org/spreadsheetml/2006/main" name="DD0130040_1316" connectionId="1416" autoFormatId="16" applyNumberFormats="0" applyBorderFormats="0" applyFontFormats="1" applyPatternFormats="1" applyAlignmentFormats="0" applyWidthHeightFormats="0"/>
</file>

<file path=xl/queryTables/queryTable1572.xml><?xml version="1.0" encoding="utf-8"?>
<queryTable xmlns="http://schemas.openxmlformats.org/spreadsheetml/2006/main" name="DD0130040_346" connectionId="547" autoFormatId="16" applyNumberFormats="0" applyBorderFormats="0" applyFontFormats="1" applyPatternFormats="1" applyAlignmentFormats="0" applyWidthHeightFormats="0"/>
</file>

<file path=xl/queryTables/queryTable1573.xml><?xml version="1.0" encoding="utf-8"?>
<queryTable xmlns="http://schemas.openxmlformats.org/spreadsheetml/2006/main" name="DD0130040_1755" connectionId="1614" autoFormatId="16" applyNumberFormats="0" applyBorderFormats="0" applyFontFormats="1" applyPatternFormats="1" applyAlignmentFormats="0" applyWidthHeightFormats="0"/>
</file>

<file path=xl/queryTables/queryTable1574.xml><?xml version="1.0" encoding="utf-8"?>
<queryTable xmlns="http://schemas.openxmlformats.org/spreadsheetml/2006/main" name="DD0130040_702" connectionId="152" autoFormatId="16" applyNumberFormats="0" applyBorderFormats="0" applyFontFormats="1" applyPatternFormats="1" applyAlignmentFormats="0" applyWidthHeightFormats="0"/>
</file>

<file path=xl/queryTables/queryTable1575.xml><?xml version="1.0" encoding="utf-8"?>
<queryTable xmlns="http://schemas.openxmlformats.org/spreadsheetml/2006/main" name="DD0130040_299" connectionId="599" autoFormatId="16" applyNumberFormats="0" applyBorderFormats="0" applyFontFormats="1" applyPatternFormats="1" applyAlignmentFormats="0" applyWidthHeightFormats="0"/>
</file>

<file path=xl/queryTables/queryTable1576.xml><?xml version="1.0" encoding="utf-8"?>
<queryTable xmlns="http://schemas.openxmlformats.org/spreadsheetml/2006/main" name="DD0130040_1178" connectionId="1568" autoFormatId="16" applyNumberFormats="0" applyBorderFormats="0" applyFontFormats="1" applyPatternFormats="1" applyAlignmentFormats="0" applyWidthHeightFormats="0"/>
</file>

<file path=xl/queryTables/queryTable1577.xml><?xml version="1.0" encoding="utf-8"?>
<queryTable xmlns="http://schemas.openxmlformats.org/spreadsheetml/2006/main" name="DD0130040_1591" connectionId="1110" autoFormatId="16" applyNumberFormats="0" applyBorderFormats="0" applyFontFormats="1" applyPatternFormats="1" applyAlignmentFormats="0" applyWidthHeightFormats="0"/>
</file>

<file path=xl/queryTables/queryTable1578.xml><?xml version="1.0" encoding="utf-8"?>
<queryTable xmlns="http://schemas.openxmlformats.org/spreadsheetml/2006/main" name="DD0130040_927" connectionId="1731" autoFormatId="16" applyNumberFormats="0" applyBorderFormats="0" applyFontFormats="1" applyPatternFormats="1" applyAlignmentFormats="0" applyWidthHeightFormats="0"/>
</file>

<file path=xl/queryTables/queryTable1579.xml><?xml version="1.0" encoding="utf-8"?>
<queryTable xmlns="http://schemas.openxmlformats.org/spreadsheetml/2006/main" name="DD0130040_1428" connectionId="1291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DD0130040_1554" connectionId="1151" autoFormatId="16" applyNumberFormats="0" applyBorderFormats="0" applyFontFormats="1" applyPatternFormats="1" applyAlignmentFormats="0" applyWidthHeightFormats="0"/>
</file>

<file path=xl/queryTables/queryTable1580.xml><?xml version="1.0" encoding="utf-8"?>
<queryTable xmlns="http://schemas.openxmlformats.org/spreadsheetml/2006/main" name="DD0130040_569" connectionId="299" autoFormatId="16" applyNumberFormats="0" applyBorderFormats="0" applyFontFormats="1" applyPatternFormats="1" applyAlignmentFormats="0" applyWidthHeightFormats="0"/>
</file>

<file path=xl/queryTables/queryTable1581.xml><?xml version="1.0" encoding="utf-8"?>
<queryTable xmlns="http://schemas.openxmlformats.org/spreadsheetml/2006/main" name="DD0130040_1602" connectionId="1098" autoFormatId="16" applyNumberFormats="0" applyBorderFormats="0" applyFontFormats="1" applyPatternFormats="1" applyAlignmentFormats="0" applyWidthHeightFormats="0"/>
</file>

<file path=xl/queryTables/queryTable1582.xml><?xml version="1.0" encoding="utf-8"?>
<queryTable xmlns="http://schemas.openxmlformats.org/spreadsheetml/2006/main" name="DD0130040_1194" connectionId="1551" autoFormatId="16" applyNumberFormats="0" applyBorderFormats="0" applyFontFormats="1" applyPatternFormats="1" applyAlignmentFormats="0" applyWidthHeightFormats="0"/>
</file>

<file path=xl/queryTables/queryTable1583.xml><?xml version="1.0" encoding="utf-8"?>
<queryTable xmlns="http://schemas.openxmlformats.org/spreadsheetml/2006/main" name="DD0130040_2097" connectionId="889" autoFormatId="16" applyNumberFormats="0" applyBorderFormats="0" applyFontFormats="1" applyPatternFormats="1" applyAlignmentFormats="0" applyWidthHeightFormats="0"/>
</file>

<file path=xl/queryTables/queryTable1584.xml><?xml version="1.0" encoding="utf-8"?>
<queryTable xmlns="http://schemas.openxmlformats.org/spreadsheetml/2006/main" name="DD0130040_1883" connectionId="652" autoFormatId="16" applyNumberFormats="0" applyBorderFormats="0" applyFontFormats="1" applyPatternFormats="1" applyAlignmentFormats="0" applyWidthHeightFormats="0"/>
</file>

<file path=xl/queryTables/queryTable1585.xml><?xml version="1.0" encoding="utf-8"?>
<queryTable xmlns="http://schemas.openxmlformats.org/spreadsheetml/2006/main" name="DD0130040_557" connectionId="312" autoFormatId="16" applyNumberFormats="0" applyBorderFormats="0" applyFontFormats="1" applyPatternFormats="1" applyAlignmentFormats="0" applyWidthHeightFormats="0"/>
</file>

<file path=xl/queryTables/queryTable1586.xml><?xml version="1.0" encoding="utf-8"?>
<queryTable xmlns="http://schemas.openxmlformats.org/spreadsheetml/2006/main" name="DD0130040_1899" connectionId="670" autoFormatId="16" applyNumberFormats="0" applyBorderFormats="0" applyFontFormats="1" applyPatternFormats="1" applyAlignmentFormats="0" applyWidthHeightFormats="0"/>
</file>

<file path=xl/queryTables/queryTable1587.xml><?xml version="1.0" encoding="utf-8"?>
<queryTable xmlns="http://schemas.openxmlformats.org/spreadsheetml/2006/main" name="DD0130040_394" connectionId="494" autoFormatId="16" applyNumberFormats="0" applyBorderFormats="0" applyFontFormats="1" applyPatternFormats="1" applyAlignmentFormats="0" applyWidthHeightFormats="0"/>
</file>

<file path=xl/queryTables/queryTable1588.xml><?xml version="1.0" encoding="utf-8"?>
<queryTable xmlns="http://schemas.openxmlformats.org/spreadsheetml/2006/main" name="DD0130040_1689" connectionId="535" autoFormatId="16" applyNumberFormats="0" applyBorderFormats="0" applyFontFormats="1" applyPatternFormats="1" applyAlignmentFormats="0" applyWidthHeightFormats="0"/>
</file>

<file path=xl/queryTables/queryTable1589.xml><?xml version="1.0" encoding="utf-8"?>
<queryTable xmlns="http://schemas.openxmlformats.org/spreadsheetml/2006/main" name="DD0130040_1529" connectionId="1179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DD0130040_1102" connectionId="1653" autoFormatId="16" applyNumberFormats="0" applyBorderFormats="0" applyFontFormats="1" applyPatternFormats="1" applyAlignmentFormats="0" applyWidthHeightFormats="0"/>
</file>

<file path=xl/queryTables/queryTable1590.xml><?xml version="1.0" encoding="utf-8"?>
<queryTable xmlns="http://schemas.openxmlformats.org/spreadsheetml/2006/main" name="DD0130040_1462" connectionId="1253" autoFormatId="16" applyNumberFormats="0" applyBorderFormats="0" applyFontFormats="1" applyPatternFormats="1" applyAlignmentFormats="0" applyWidthHeightFormats="0"/>
</file>

<file path=xl/queryTables/queryTable1591.xml><?xml version="1.0" encoding="utf-8"?>
<queryTable xmlns="http://schemas.openxmlformats.org/spreadsheetml/2006/main" name="DD0130040_298" connectionId="600" autoFormatId="16" applyNumberFormats="0" applyBorderFormats="0" applyFontFormats="1" applyPatternFormats="1" applyAlignmentFormats="0" applyWidthHeightFormats="0"/>
</file>

<file path=xl/queryTables/queryTable1592.xml><?xml version="1.0" encoding="utf-8"?>
<queryTable xmlns="http://schemas.openxmlformats.org/spreadsheetml/2006/main" name="DD0130040_1500" connectionId="1211" autoFormatId="16" applyNumberFormats="0" applyBorderFormats="0" applyFontFormats="1" applyPatternFormats="1" applyAlignmentFormats="0" applyWidthHeightFormats="0"/>
</file>

<file path=xl/queryTables/queryTable1593.xml><?xml version="1.0" encoding="utf-8"?>
<queryTable xmlns="http://schemas.openxmlformats.org/spreadsheetml/2006/main" name="DD0130040_1306" connectionId="1427" autoFormatId="16" applyNumberFormats="0" applyBorderFormats="0" applyFontFormats="1" applyPatternFormats="1" applyAlignmentFormats="0" applyWidthHeightFormats="0"/>
</file>

<file path=xl/queryTables/queryTable1594.xml><?xml version="1.0" encoding="utf-8"?>
<queryTable xmlns="http://schemas.openxmlformats.org/spreadsheetml/2006/main" name="DD0130040_1599" connectionId="1101" autoFormatId="16" applyNumberFormats="0" applyBorderFormats="0" applyFontFormats="1" applyPatternFormats="1" applyAlignmentFormats="0" applyWidthHeightFormats="0"/>
</file>

<file path=xl/queryTables/queryTable1595.xml><?xml version="1.0" encoding="utf-8"?>
<queryTable xmlns="http://schemas.openxmlformats.org/spreadsheetml/2006/main" name="DD0130040_850" connectionId="958" autoFormatId="16" applyNumberFormats="0" applyBorderFormats="0" applyFontFormats="1" applyPatternFormats="1" applyAlignmentFormats="0" applyWidthHeightFormats="0"/>
</file>

<file path=xl/queryTables/queryTable1596.xml><?xml version="1.0" encoding="utf-8"?>
<queryTable xmlns="http://schemas.openxmlformats.org/spreadsheetml/2006/main" name="DD0130040_1566" connectionId="1138" autoFormatId="16" applyNumberFormats="0" applyBorderFormats="0" applyFontFormats="1" applyPatternFormats="1" applyAlignmentFormats="0" applyWidthHeightFormats="0"/>
</file>

<file path=xl/queryTables/queryTable1597.xml><?xml version="1.0" encoding="utf-8"?>
<queryTable xmlns="http://schemas.openxmlformats.org/spreadsheetml/2006/main" name="DD0130040_898" connectionId="1698" autoFormatId="16" applyNumberFormats="0" applyBorderFormats="0" applyFontFormats="1" applyPatternFormats="1" applyAlignmentFormats="0" applyWidthHeightFormats="0"/>
</file>

<file path=xl/queryTables/queryTable1598.xml><?xml version="1.0" encoding="utf-8"?>
<queryTable xmlns="http://schemas.openxmlformats.org/spreadsheetml/2006/main" name="DD0130040_508" connectionId="367" autoFormatId="16" applyNumberFormats="0" applyBorderFormats="0" applyFontFormats="1" applyPatternFormats="1" applyAlignmentFormats="0" applyWidthHeightFormats="0"/>
</file>

<file path=xl/queryTables/queryTable1599.xml><?xml version="1.0" encoding="utf-8"?>
<queryTable xmlns="http://schemas.openxmlformats.org/spreadsheetml/2006/main" name="DD0130040_1251" connectionId="148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DD0130040_1064" connectionId="72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DD0130040_566" connectionId="303" autoFormatId="16" applyNumberFormats="0" applyBorderFormats="0" applyFontFormats="1" applyPatternFormats="1" applyAlignmentFormats="0" applyWidthHeightFormats="0"/>
</file>

<file path=xl/queryTables/queryTable1600.xml><?xml version="1.0" encoding="utf-8"?>
<queryTable xmlns="http://schemas.openxmlformats.org/spreadsheetml/2006/main" name="DD0130040_1845" connectionId="610" autoFormatId="16" applyNumberFormats="0" applyBorderFormats="0" applyFontFormats="1" applyPatternFormats="1" applyAlignmentFormats="0" applyWidthHeightFormats="0"/>
</file>

<file path=xl/queryTables/queryTable1601.xml><?xml version="1.0" encoding="utf-8"?>
<queryTable xmlns="http://schemas.openxmlformats.org/spreadsheetml/2006/main" name="DD0130040_1164" connectionId="1584" autoFormatId="16" applyNumberFormats="0" applyBorderFormats="0" applyFontFormats="1" applyPatternFormats="1" applyAlignmentFormats="0" applyWidthHeightFormats="0"/>
</file>

<file path=xl/queryTables/queryTable1602.xml><?xml version="1.0" encoding="utf-8"?>
<queryTable xmlns="http://schemas.openxmlformats.org/spreadsheetml/2006/main" name="DD0130040_1773" connectionId="1414" autoFormatId="16" applyNumberFormats="0" applyBorderFormats="0" applyFontFormats="1" applyPatternFormats="1" applyAlignmentFormats="0" applyWidthHeightFormats="0"/>
</file>

<file path=xl/queryTables/queryTable1603.xml><?xml version="1.0" encoding="utf-8"?>
<queryTable xmlns="http://schemas.openxmlformats.org/spreadsheetml/2006/main" name="DD0130040_479" connectionId="399" autoFormatId="16" applyNumberFormats="0" applyBorderFormats="0" applyFontFormats="1" applyPatternFormats="1" applyAlignmentFormats="0" applyWidthHeightFormats="0"/>
</file>

<file path=xl/queryTables/queryTable1604.xml><?xml version="1.0" encoding="utf-8"?>
<queryTable xmlns="http://schemas.openxmlformats.org/spreadsheetml/2006/main" name="DD0130040_454" connectionId="427" autoFormatId="16" applyNumberFormats="0" applyBorderFormats="0" applyFontFormats="1" applyPatternFormats="1" applyAlignmentFormats="0" applyWidthHeightFormats="0"/>
</file>

<file path=xl/queryTables/queryTable1605.xml><?xml version="1.0" encoding="utf-8"?>
<queryTable xmlns="http://schemas.openxmlformats.org/spreadsheetml/2006/main" name="DD0130040_1601" connectionId="1099" autoFormatId="16" applyNumberFormats="0" applyBorderFormats="0" applyFontFormats="1" applyPatternFormats="1" applyAlignmentFormats="0" applyWidthHeightFormats="0"/>
</file>

<file path=xl/queryTables/queryTable1606.xml><?xml version="1.0" encoding="utf-8"?>
<queryTable xmlns="http://schemas.openxmlformats.org/spreadsheetml/2006/main" name="DD0130040_523" connectionId="351" autoFormatId="16" applyNumberFormats="0" applyBorderFormats="0" applyFontFormats="1" applyPatternFormats="1" applyAlignmentFormats="0" applyWidthHeightFormats="0"/>
</file>

<file path=xl/queryTables/queryTable1607.xml><?xml version="1.0" encoding="utf-8"?>
<queryTable xmlns="http://schemas.openxmlformats.org/spreadsheetml/2006/main" name="DD0130040_435" connectionId="448" autoFormatId="16" applyNumberFormats="0" applyBorderFormats="0" applyFontFormats="1" applyPatternFormats="1" applyAlignmentFormats="0" applyWidthHeightFormats="0"/>
</file>

<file path=xl/queryTables/queryTable1608.xml><?xml version="1.0" encoding="utf-8"?>
<queryTable xmlns="http://schemas.openxmlformats.org/spreadsheetml/2006/main" name="DD0130040_1452" connectionId="1264" autoFormatId="16" applyNumberFormats="0" applyBorderFormats="0" applyFontFormats="1" applyPatternFormats="1" applyAlignmentFormats="0" applyWidthHeightFormats="0"/>
</file>

<file path=xl/queryTables/queryTable1609.xml><?xml version="1.0" encoding="utf-8"?>
<queryTable xmlns="http://schemas.openxmlformats.org/spreadsheetml/2006/main" name="DD0130040_1503" connectionId="1208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DD0130040_1889" connectionId="659" autoFormatId="16" applyNumberFormats="0" applyBorderFormats="0" applyFontFormats="1" applyPatternFormats="1" applyAlignmentFormats="0" applyWidthHeightFormats="0"/>
</file>

<file path=xl/queryTables/queryTable1610.xml><?xml version="1.0" encoding="utf-8"?>
<queryTable xmlns="http://schemas.openxmlformats.org/spreadsheetml/2006/main" name="DD0130040_2020" connectionId="805" autoFormatId="16" applyNumberFormats="0" applyBorderFormats="0" applyFontFormats="1" applyPatternFormats="1" applyAlignmentFormats="0" applyWidthHeightFormats="0"/>
</file>

<file path=xl/queryTables/queryTable1611.xml><?xml version="1.0" encoding="utf-8"?>
<queryTable xmlns="http://schemas.openxmlformats.org/spreadsheetml/2006/main" name="DD0130040_1464" connectionId="1251" autoFormatId="16" applyNumberFormats="0" applyBorderFormats="0" applyFontFormats="1" applyPatternFormats="1" applyAlignmentFormats="0" applyWidthHeightFormats="0"/>
</file>

<file path=xl/queryTables/queryTable1612.xml><?xml version="1.0" encoding="utf-8"?>
<queryTable xmlns="http://schemas.openxmlformats.org/spreadsheetml/2006/main" name="DD0130040_945" connectionId="1751" autoFormatId="16" applyNumberFormats="0" applyBorderFormats="0" applyFontFormats="1" applyPatternFormats="1" applyAlignmentFormats="0" applyWidthHeightFormats="0"/>
</file>

<file path=xl/queryTables/queryTable1613.xml><?xml version="1.0" encoding="utf-8"?>
<queryTable xmlns="http://schemas.openxmlformats.org/spreadsheetml/2006/main" name="DD0130040_769" connectionId="1049" autoFormatId="16" applyNumberFormats="0" applyBorderFormats="0" applyFontFormats="1" applyPatternFormats="1" applyAlignmentFormats="0" applyWidthHeightFormats="0"/>
</file>

<file path=xl/queryTables/queryTable1614.xml><?xml version="1.0" encoding="utf-8"?>
<queryTable xmlns="http://schemas.openxmlformats.org/spreadsheetml/2006/main" name="DD0130040_614" connectionId="250" autoFormatId="16" applyNumberFormats="0" applyBorderFormats="0" applyFontFormats="1" applyPatternFormats="1" applyAlignmentFormats="0" applyWidthHeightFormats="0"/>
</file>

<file path=xl/queryTables/queryTable1615.xml><?xml version="1.0" encoding="utf-8"?>
<queryTable xmlns="http://schemas.openxmlformats.org/spreadsheetml/2006/main" name="DD0130040_707" connectionId="146" autoFormatId="16" applyNumberFormats="0" applyBorderFormats="0" applyFontFormats="1" applyPatternFormats="1" applyAlignmentFormats="0" applyWidthHeightFormats="0"/>
</file>

<file path=xl/queryTables/queryTable1616.xml><?xml version="1.0" encoding="utf-8"?>
<queryTable xmlns="http://schemas.openxmlformats.org/spreadsheetml/2006/main" name="DD0130040_876" connectionId="929" autoFormatId="16" applyNumberFormats="0" applyBorderFormats="0" applyFontFormats="1" applyPatternFormats="1" applyAlignmentFormats="0" applyWidthHeightFormats="0"/>
</file>

<file path=xl/queryTables/queryTable1617.xml><?xml version="1.0" encoding="utf-8"?>
<queryTable xmlns="http://schemas.openxmlformats.org/spreadsheetml/2006/main" name="DD0130040_552" connectionId="318" autoFormatId="16" applyNumberFormats="0" applyBorderFormats="0" applyFontFormats="1" applyPatternFormats="1" applyAlignmentFormats="0" applyWidthHeightFormats="0"/>
</file>

<file path=xl/queryTables/queryTable1618.xml><?xml version="1.0" encoding="utf-8"?>
<queryTable xmlns="http://schemas.openxmlformats.org/spreadsheetml/2006/main" name="DD0130040_803" connectionId="1010" autoFormatId="16" applyNumberFormats="0" applyBorderFormats="0" applyFontFormats="1" applyPatternFormats="1" applyAlignmentFormats="0" applyWidthHeightFormats="0"/>
</file>

<file path=xl/queryTables/queryTable1619.xml><?xml version="1.0" encoding="utf-8"?>
<queryTable xmlns="http://schemas.openxmlformats.org/spreadsheetml/2006/main" name="DD0130040_1483" connectionId="1230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DD0130040_928" connectionId="1732" autoFormatId="16" applyNumberFormats="0" applyBorderFormats="0" applyFontFormats="1" applyPatternFormats="1" applyAlignmentFormats="0" applyWidthHeightFormats="0"/>
</file>

<file path=xl/queryTables/queryTable1620.xml><?xml version="1.0" encoding="utf-8"?>
<queryTable xmlns="http://schemas.openxmlformats.org/spreadsheetml/2006/main" name="DD0130040_2074" connectionId="864" autoFormatId="16" applyNumberFormats="0" applyBorderFormats="0" applyFontFormats="1" applyPatternFormats="1" applyAlignmentFormats="0" applyWidthHeightFormats="0"/>
</file>

<file path=xl/queryTables/queryTable1621.xml><?xml version="1.0" encoding="utf-8"?>
<queryTable xmlns="http://schemas.openxmlformats.org/spreadsheetml/2006/main" name="DD0130040_1592" connectionId="1109" autoFormatId="16" applyNumberFormats="0" applyBorderFormats="0" applyFontFormats="1" applyPatternFormats="1" applyAlignmentFormats="0" applyWidthHeightFormats="0"/>
</file>

<file path=xl/queryTables/queryTable1622.xml><?xml version="1.0" encoding="utf-8"?>
<queryTable xmlns="http://schemas.openxmlformats.org/spreadsheetml/2006/main" name="DD0130040_1175" connectionId="1572" autoFormatId="16" applyNumberFormats="0" applyBorderFormats="0" applyFontFormats="1" applyPatternFormats="1" applyAlignmentFormats="0" applyWidthHeightFormats="0"/>
</file>

<file path=xl/queryTables/queryTable1623.xml><?xml version="1.0" encoding="utf-8"?>
<queryTable xmlns="http://schemas.openxmlformats.org/spreadsheetml/2006/main" name="DD0130040_1373" connectionId="1352" autoFormatId="16" applyNumberFormats="0" applyBorderFormats="0" applyFontFormats="1" applyPatternFormats="1" applyAlignmentFormats="0" applyWidthHeightFormats="0"/>
</file>

<file path=xl/queryTables/queryTable1624.xml><?xml version="1.0" encoding="utf-8"?>
<queryTable xmlns="http://schemas.openxmlformats.org/spreadsheetml/2006/main" name="DD0130040_818" connectionId="994" autoFormatId="16" applyNumberFormats="0" applyBorderFormats="0" applyFontFormats="1" applyPatternFormats="1" applyAlignmentFormats="0" applyWidthHeightFormats="0"/>
</file>

<file path=xl/queryTables/queryTable1625.xml><?xml version="1.0" encoding="utf-8"?>
<queryTable xmlns="http://schemas.openxmlformats.org/spreadsheetml/2006/main" name="DD0130040_995" connectionId="1806" autoFormatId="16" applyNumberFormats="0" applyBorderFormats="0" applyFontFormats="1" applyPatternFormats="1" applyAlignmentFormats="0" applyWidthHeightFormats="0"/>
</file>

<file path=xl/queryTables/queryTable1626.xml><?xml version="1.0" encoding="utf-8"?>
<queryTable xmlns="http://schemas.openxmlformats.org/spreadsheetml/2006/main" name="DD0130040_1347" connectionId="1382" autoFormatId="16" applyNumberFormats="0" applyBorderFormats="0" applyFontFormats="1" applyPatternFormats="1" applyAlignmentFormats="0" applyWidthHeightFormats="0"/>
</file>

<file path=xl/queryTables/queryTable1627.xml><?xml version="1.0" encoding="utf-8"?>
<queryTable xmlns="http://schemas.openxmlformats.org/spreadsheetml/2006/main" name="DD0130040_743" connectionId="106" autoFormatId="16" applyNumberFormats="0" applyBorderFormats="0" applyFontFormats="1" applyPatternFormats="1" applyAlignmentFormats="0" applyWidthHeightFormats="0"/>
</file>

<file path=xl/queryTables/queryTable1628.xml><?xml version="1.0" encoding="utf-8"?>
<queryTable xmlns="http://schemas.openxmlformats.org/spreadsheetml/2006/main" name="DD0130040_2034" connectionId="820" autoFormatId="16" applyNumberFormats="0" applyBorderFormats="0" applyFontFormats="1" applyPatternFormats="1" applyAlignmentFormats="0" applyWidthHeightFormats="0"/>
</file>

<file path=xl/queryTables/queryTable1629.xml><?xml version="1.0" encoding="utf-8"?>
<queryTable xmlns="http://schemas.openxmlformats.org/spreadsheetml/2006/main" name="DD0130040_521" connectionId="353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DD0130040_411" connectionId="475" autoFormatId="16" applyNumberFormats="0" applyBorderFormats="0" applyFontFormats="1" applyPatternFormats="1" applyAlignmentFormats="0" applyWidthHeightFormats="0"/>
</file>

<file path=xl/queryTables/queryTable1630.xml><?xml version="1.0" encoding="utf-8"?>
<queryTable xmlns="http://schemas.openxmlformats.org/spreadsheetml/2006/main" name="DD0130040_1954" connectionId="731" autoFormatId="16" applyNumberFormats="0" applyBorderFormats="0" applyFontFormats="1" applyPatternFormats="1" applyAlignmentFormats="0" applyWidthHeightFormats="0"/>
</file>

<file path=xl/queryTables/queryTable1631.xml><?xml version="1.0" encoding="utf-8"?>
<queryTable xmlns="http://schemas.openxmlformats.org/spreadsheetml/2006/main" name="DD0130040_1711" connectionId="291" autoFormatId="16" applyNumberFormats="0" applyBorderFormats="0" applyFontFormats="1" applyPatternFormats="1" applyAlignmentFormats="0" applyWidthHeightFormats="0"/>
</file>

<file path=xl/queryTables/queryTable1632.xml><?xml version="1.0" encoding="utf-8"?>
<queryTable xmlns="http://schemas.openxmlformats.org/spreadsheetml/2006/main" name="DD0130040_1900" connectionId="671" autoFormatId="16" applyNumberFormats="0" applyBorderFormats="0" applyFontFormats="1" applyPatternFormats="1" applyAlignmentFormats="0" applyWidthHeightFormats="0"/>
</file>

<file path=xl/queryTables/queryTable1633.xml><?xml version="1.0" encoding="utf-8"?>
<queryTable xmlns="http://schemas.openxmlformats.org/spreadsheetml/2006/main" name="DD0130040_347" connectionId="545" autoFormatId="16" applyNumberFormats="0" applyBorderFormats="0" applyFontFormats="1" applyPatternFormats="1" applyAlignmentFormats="0" applyWidthHeightFormats="0"/>
</file>

<file path=xl/queryTables/queryTable1634.xml><?xml version="1.0" encoding="utf-8"?>
<queryTable xmlns="http://schemas.openxmlformats.org/spreadsheetml/2006/main" name="DD0130040_1226" connectionId="1516" autoFormatId="16" applyNumberFormats="0" applyBorderFormats="0" applyFontFormats="1" applyPatternFormats="1" applyAlignmentFormats="0" applyWidthHeightFormats="0"/>
</file>

<file path=xl/queryTables/queryTable1635.xml><?xml version="1.0" encoding="utf-8"?>
<queryTable xmlns="http://schemas.openxmlformats.org/spreadsheetml/2006/main" name="DD0130040_1319" connectionId="1412" autoFormatId="16" applyNumberFormats="0" applyBorderFormats="0" applyFontFormats="1" applyPatternFormats="1" applyAlignmentFormats="0" applyWidthHeightFormats="0"/>
</file>

<file path=xl/queryTables/queryTable1636.xml><?xml version="1.0" encoding="utf-8"?>
<queryTable xmlns="http://schemas.openxmlformats.org/spreadsheetml/2006/main" name="DD0130040_613" connectionId="251" autoFormatId="16" applyNumberFormats="0" applyBorderFormats="0" applyFontFormats="1" applyPatternFormats="1" applyAlignmentFormats="0" applyWidthHeightFormats="0"/>
</file>

<file path=xl/queryTables/queryTable1637.xml><?xml version="1.0" encoding="utf-8"?>
<queryTable xmlns="http://schemas.openxmlformats.org/spreadsheetml/2006/main" name="DD0130040_339" connectionId="554" autoFormatId="16" applyNumberFormats="0" applyBorderFormats="0" applyFontFormats="1" applyPatternFormats="1" applyAlignmentFormats="0" applyWidthHeightFormats="0"/>
</file>

<file path=xl/queryTables/queryTable1638.xml><?xml version="1.0" encoding="utf-8"?>
<queryTable xmlns="http://schemas.openxmlformats.org/spreadsheetml/2006/main" name="DD0130040_1874" connectionId="642" autoFormatId="16" applyNumberFormats="0" applyBorderFormats="0" applyFontFormats="1" applyPatternFormats="1" applyAlignmentFormats="0" applyWidthHeightFormats="0"/>
</file>

<file path=xl/queryTables/queryTable1639.xml><?xml version="1.0" encoding="utf-8"?>
<queryTable xmlns="http://schemas.openxmlformats.org/spreadsheetml/2006/main" name="DD0130040_968" connectionId="1776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DD0130040_1184" connectionId="1562" autoFormatId="16" applyNumberFormats="0" applyBorderFormats="0" applyFontFormats="1" applyPatternFormats="1" applyAlignmentFormats="0" applyWidthHeightFormats="0"/>
</file>

<file path=xl/queryTables/queryTable1640.xml><?xml version="1.0" encoding="utf-8"?>
<queryTable xmlns="http://schemas.openxmlformats.org/spreadsheetml/2006/main" name="DD0130040_1310" connectionId="1422" autoFormatId="16" applyNumberFormats="0" applyBorderFormats="0" applyFontFormats="1" applyPatternFormats="1" applyAlignmentFormats="0" applyWidthHeightFormats="0"/>
</file>

<file path=xl/queryTables/queryTable1641.xml><?xml version="1.0" encoding="utf-8"?>
<queryTable xmlns="http://schemas.openxmlformats.org/spreadsheetml/2006/main" name="DD0130040_341" connectionId="552" autoFormatId="16" applyNumberFormats="0" applyBorderFormats="0" applyFontFormats="1" applyPatternFormats="1" applyAlignmentFormats="0" applyWidthHeightFormats="0"/>
</file>

<file path=xl/queryTables/queryTable1642.xml><?xml version="1.0" encoding="utf-8"?>
<queryTable xmlns="http://schemas.openxmlformats.org/spreadsheetml/2006/main" name="DD0130040_1896" connectionId="666" autoFormatId="16" applyNumberFormats="0" applyBorderFormats="0" applyFontFormats="1" applyPatternFormats="1" applyAlignmentFormats="0" applyWidthHeightFormats="0"/>
</file>

<file path=xl/queryTables/queryTable1643.xml><?xml version="1.0" encoding="utf-8"?>
<queryTable xmlns="http://schemas.openxmlformats.org/spreadsheetml/2006/main" name="DD0130040_1165" connectionId="1583" autoFormatId="16" applyNumberFormats="0" applyBorderFormats="0" applyFontFormats="1" applyPatternFormats="1" applyAlignmentFormats="0" applyWidthHeightFormats="0"/>
</file>

<file path=xl/queryTables/queryTable1644.xml><?xml version="1.0" encoding="utf-8"?>
<queryTable xmlns="http://schemas.openxmlformats.org/spreadsheetml/2006/main" name="DD0130040_514" connectionId="361" autoFormatId="16" applyNumberFormats="0" applyBorderFormats="0" applyFontFormats="1" applyPatternFormats="1" applyAlignmentFormats="0" applyWidthHeightFormats="0"/>
</file>

<file path=xl/queryTables/queryTable1645.xml><?xml version="1.0" encoding="utf-8"?>
<queryTable xmlns="http://schemas.openxmlformats.org/spreadsheetml/2006/main" name="DD0130040_1996" connectionId="777" autoFormatId="16" applyNumberFormats="0" applyBorderFormats="0" applyFontFormats="1" applyPatternFormats="1" applyAlignmentFormats="0" applyWidthHeightFormats="0"/>
</file>

<file path=xl/queryTables/queryTable1646.xml><?xml version="1.0" encoding="utf-8"?>
<queryTable xmlns="http://schemas.openxmlformats.org/spreadsheetml/2006/main" name="DD0130040_457" connectionId="423" autoFormatId="16" applyNumberFormats="0" applyBorderFormats="0" applyFontFormats="1" applyPatternFormats="1" applyAlignmentFormats="0" applyWidthHeightFormats="0"/>
</file>

<file path=xl/queryTables/queryTable1647.xml><?xml version="1.0" encoding="utf-8"?>
<queryTable xmlns="http://schemas.openxmlformats.org/spreadsheetml/2006/main" name="DD0130040_1189" connectionId="1556" autoFormatId="16" applyNumberFormats="0" applyBorderFormats="0" applyFontFormats="1" applyPatternFormats="1" applyAlignmentFormats="0" applyWidthHeightFormats="0"/>
</file>

<file path=xl/queryTables/queryTable1648.xml><?xml version="1.0" encoding="utf-8"?>
<queryTable xmlns="http://schemas.openxmlformats.org/spreadsheetml/2006/main" name="DD0130040_1324" connectionId="1407" autoFormatId="16" applyNumberFormats="0" applyBorderFormats="0" applyFontFormats="1" applyPatternFormats="1" applyAlignmentFormats="0" applyWidthHeightFormats="0"/>
</file>

<file path=xl/queryTables/queryTable1649.xml><?xml version="1.0" encoding="utf-8"?>
<queryTable xmlns="http://schemas.openxmlformats.org/spreadsheetml/2006/main" name="DD0130040_1919" connectionId="693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DD0130040_2032" connectionId="818" autoFormatId="16" applyNumberFormats="0" applyBorderFormats="0" applyFontFormats="1" applyPatternFormats="1" applyAlignmentFormats="0" applyWidthHeightFormats="0"/>
</file>

<file path=xl/queryTables/queryTable1650.xml><?xml version="1.0" encoding="utf-8"?>
<queryTable xmlns="http://schemas.openxmlformats.org/spreadsheetml/2006/main" name="DD0130040_1478" connectionId="1235" autoFormatId="16" applyNumberFormats="0" applyBorderFormats="0" applyFontFormats="1" applyPatternFormats="1" applyAlignmentFormats="0" applyWidthHeightFormats="0"/>
</file>

<file path=xl/queryTables/queryTable1651.xml><?xml version="1.0" encoding="utf-8"?>
<queryTable xmlns="http://schemas.openxmlformats.org/spreadsheetml/2006/main" name="DD0130040_1244" connectionId="1496" autoFormatId="16" applyNumberFormats="0" applyBorderFormats="0" applyFontFormats="1" applyPatternFormats="1" applyAlignmentFormats="0" applyWidthHeightFormats="0"/>
</file>

<file path=xl/queryTables/queryTable1652.xml><?xml version="1.0" encoding="utf-8"?>
<queryTable xmlns="http://schemas.openxmlformats.org/spreadsheetml/2006/main" name="DD0130040_682" connectionId="174" autoFormatId="16" applyNumberFormats="0" applyBorderFormats="0" applyFontFormats="1" applyPatternFormats="1" applyAlignmentFormats="0" applyWidthHeightFormats="0"/>
</file>

<file path=xl/queryTables/queryTable1653.xml><?xml version="1.0" encoding="utf-8"?>
<queryTable xmlns="http://schemas.openxmlformats.org/spreadsheetml/2006/main" name="DD0130040_1793" connectionId="1192" autoFormatId="16" applyNumberFormats="0" applyBorderFormats="0" applyFontFormats="1" applyPatternFormats="1" applyAlignmentFormats="0" applyWidthHeightFormats="0"/>
</file>

<file path=xl/queryTables/queryTable1654.xml><?xml version="1.0" encoding="utf-8"?>
<queryTable xmlns="http://schemas.openxmlformats.org/spreadsheetml/2006/main" name="DD0130040_1673" connectionId="713" autoFormatId="16" applyNumberFormats="0" applyBorderFormats="0" applyFontFormats="1" applyPatternFormats="1" applyAlignmentFormats="0" applyWidthHeightFormats="0"/>
</file>

<file path=xl/queryTables/queryTable1655.xml><?xml version="1.0" encoding="utf-8"?>
<queryTable xmlns="http://schemas.openxmlformats.org/spreadsheetml/2006/main" name="DD0130040_768" connectionId="1050" autoFormatId="16" applyNumberFormats="0" applyBorderFormats="0" applyFontFormats="1" applyPatternFormats="1" applyAlignmentFormats="0" applyWidthHeightFormats="0"/>
</file>

<file path=xl/queryTables/queryTable1656.xml><?xml version="1.0" encoding="utf-8"?>
<queryTable xmlns="http://schemas.openxmlformats.org/spreadsheetml/2006/main" name="DD0130040_559" connectionId="310" autoFormatId="16" applyNumberFormats="0" applyBorderFormats="0" applyFontFormats="1" applyPatternFormats="1" applyAlignmentFormats="0" applyWidthHeightFormats="0"/>
</file>

<file path=xl/queryTables/queryTable1657.xml><?xml version="1.0" encoding="utf-8"?>
<queryTable xmlns="http://schemas.openxmlformats.org/spreadsheetml/2006/main" name="DD0130040_311" connectionId="586" autoFormatId="16" applyNumberFormats="0" applyBorderFormats="0" applyFontFormats="1" applyPatternFormats="1" applyAlignmentFormats="0" applyWidthHeightFormats="0"/>
</file>

<file path=xl/queryTables/queryTable1658.xml><?xml version="1.0" encoding="utf-8"?>
<queryTable xmlns="http://schemas.openxmlformats.org/spreadsheetml/2006/main" name="DD0130040_1736" connectionId="14" autoFormatId="16" applyNumberFormats="0" applyBorderFormats="0" applyFontFormats="1" applyPatternFormats="1" applyAlignmentFormats="0" applyWidthHeightFormats="0"/>
</file>

<file path=xl/queryTables/queryTable1659.xml><?xml version="1.0" encoding="utf-8"?>
<queryTable xmlns="http://schemas.openxmlformats.org/spreadsheetml/2006/main" name="DD0130040_535" connectionId="337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DD0130040_509" connectionId="366" autoFormatId="16" applyNumberFormats="0" applyBorderFormats="0" applyFontFormats="1" applyPatternFormats="1" applyAlignmentFormats="0" applyWidthHeightFormats="0"/>
</file>

<file path=xl/queryTables/queryTable1660.xml><?xml version="1.0" encoding="utf-8"?>
<queryTable xmlns="http://schemas.openxmlformats.org/spreadsheetml/2006/main" name="DD0130040_573" connectionId="295" autoFormatId="16" applyNumberFormats="0" applyBorderFormats="0" applyFontFormats="1" applyPatternFormats="1" applyAlignmentFormats="0" applyWidthHeightFormats="0"/>
</file>

<file path=xl/queryTables/queryTable1661.xml><?xml version="1.0" encoding="utf-8"?>
<queryTable xmlns="http://schemas.openxmlformats.org/spreadsheetml/2006/main" name="DD0130040_1550" connectionId="1155" autoFormatId="16" applyNumberFormats="0" applyBorderFormats="0" applyFontFormats="1" applyPatternFormats="1" applyAlignmentFormats="0" applyWidthHeightFormats="0"/>
</file>

<file path=xl/queryTables/queryTable1662.xml><?xml version="1.0" encoding="utf-8"?>
<queryTable xmlns="http://schemas.openxmlformats.org/spreadsheetml/2006/main" name="DD0130040_1796" connectionId="1159" autoFormatId="16" applyNumberFormats="0" applyBorderFormats="0" applyFontFormats="1" applyPatternFormats="1" applyAlignmentFormats="0" applyWidthHeightFormats="0"/>
</file>

<file path=xl/queryTables/queryTable1663.xml><?xml version="1.0" encoding="utf-8"?>
<queryTable xmlns="http://schemas.openxmlformats.org/spreadsheetml/2006/main" name="DD0130040_1245" connectionId="1495" autoFormatId="16" applyNumberFormats="0" applyBorderFormats="0" applyFontFormats="1" applyPatternFormats="1" applyAlignmentFormats="0" applyWidthHeightFormats="0"/>
</file>

<file path=xl/queryTables/queryTable1664.xml><?xml version="1.0" encoding="utf-8"?>
<queryTable xmlns="http://schemas.openxmlformats.org/spreadsheetml/2006/main" name="DD0130040_1339" connectionId="1390" autoFormatId="16" applyNumberFormats="0" applyBorderFormats="0" applyFontFormats="1" applyPatternFormats="1" applyAlignmentFormats="0" applyWidthHeightFormats="0"/>
</file>

<file path=xl/queryTables/queryTable1665.xml><?xml version="1.0" encoding="utf-8"?>
<queryTable xmlns="http://schemas.openxmlformats.org/spreadsheetml/2006/main" name="DD0130040_1160" connectionId="1588" autoFormatId="16" applyNumberFormats="0" applyBorderFormats="0" applyFontFormats="1" applyPatternFormats="1" applyAlignmentFormats="0" applyWidthHeightFormats="0"/>
</file>

<file path=xl/queryTables/queryTable1666.xml><?xml version="1.0" encoding="utf-8"?>
<queryTable xmlns="http://schemas.openxmlformats.org/spreadsheetml/2006/main" name="DD0130040_1722" connectionId="169" autoFormatId="16" applyNumberFormats="0" applyBorderFormats="0" applyFontFormats="1" applyPatternFormats="1" applyAlignmentFormats="0" applyWidthHeightFormats="0"/>
</file>

<file path=xl/queryTables/queryTable1667.xml><?xml version="1.0" encoding="utf-8"?>
<queryTable xmlns="http://schemas.openxmlformats.org/spreadsheetml/2006/main" name="DD0130040_1636" connectionId="926" autoFormatId="16" applyNumberFormats="0" applyBorderFormats="0" applyFontFormats="1" applyPatternFormats="1" applyAlignmentFormats="0" applyWidthHeightFormats="0"/>
</file>

<file path=xl/queryTables/queryTable1668.xml><?xml version="1.0" encoding="utf-8"?>
<queryTable xmlns="http://schemas.openxmlformats.org/spreadsheetml/2006/main" name="DD0130040_1419" connectionId="1301" autoFormatId="16" applyNumberFormats="0" applyBorderFormats="0" applyFontFormats="1" applyPatternFormats="1" applyAlignmentFormats="0" applyWidthHeightFormats="0"/>
</file>

<file path=xl/queryTables/queryTable1669.xml><?xml version="1.0" encoding="utf-8"?>
<queryTable xmlns="http://schemas.openxmlformats.org/spreadsheetml/2006/main" name="DD0130040_868" connectionId="939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DD0130040_1426" connectionId="1294" autoFormatId="16" applyNumberFormats="0" applyBorderFormats="0" applyFontFormats="1" applyPatternFormats="1" applyAlignmentFormats="0" applyWidthHeightFormats="0"/>
</file>

<file path=xl/queryTables/queryTable1670.xml><?xml version="1.0" encoding="utf-8"?>
<queryTable xmlns="http://schemas.openxmlformats.org/spreadsheetml/2006/main" name="DD0130040_1751" connectionId="1658" autoFormatId="16" applyNumberFormats="0" applyBorderFormats="0" applyFontFormats="1" applyPatternFormats="1" applyAlignmentFormats="0" applyWidthHeightFormats="0"/>
</file>

<file path=xl/queryTables/queryTable1671.xml><?xml version="1.0" encoding="utf-8"?>
<queryTable xmlns="http://schemas.openxmlformats.org/spreadsheetml/2006/main" name="DD0130040_1111" connectionId="1643" autoFormatId="16" applyNumberFormats="0" applyBorderFormats="0" applyFontFormats="1" applyPatternFormats="1" applyAlignmentFormats="0" applyWidthHeightFormats="0"/>
</file>

<file path=xl/queryTables/queryTable1672.xml><?xml version="1.0" encoding="utf-8"?>
<queryTable xmlns="http://schemas.openxmlformats.org/spreadsheetml/2006/main" name="DD0130040_1335" connectionId="1395" autoFormatId="16" applyNumberFormats="0" applyBorderFormats="0" applyFontFormats="1" applyPatternFormats="1" applyAlignmentFormats="0" applyWidthHeightFormats="0"/>
</file>

<file path=xl/queryTables/queryTable1673.xml><?xml version="1.0" encoding="utf-8"?>
<queryTable xmlns="http://schemas.openxmlformats.org/spreadsheetml/2006/main" name="DD0130040_1598" connectionId="1102" autoFormatId="16" applyNumberFormats="0" applyBorderFormats="0" applyFontFormats="1" applyPatternFormats="1" applyAlignmentFormats="0" applyWidthHeightFormats="0"/>
</file>

<file path=xl/queryTables/queryTable1674.xml><?xml version="1.0" encoding="utf-8"?>
<queryTable xmlns="http://schemas.openxmlformats.org/spreadsheetml/2006/main" name="DD0130040_2102" connectionId="895" autoFormatId="16" applyNumberFormats="0" applyBorderFormats="0" applyFontFormats="1" applyPatternFormats="1" applyAlignmentFormats="0" applyWidthHeightFormats="0"/>
</file>

<file path=xl/queryTables/queryTable1675.xml><?xml version="1.0" encoding="utf-8"?>
<queryTable xmlns="http://schemas.openxmlformats.org/spreadsheetml/2006/main" name="DD0130040_1848" connectionId="614" autoFormatId="16" applyNumberFormats="0" applyBorderFormats="0" applyFontFormats="1" applyPatternFormats="1" applyAlignmentFormats="0" applyWidthHeightFormats="0"/>
</file>

<file path=xl/queryTables/queryTable1676.xml><?xml version="1.0" encoding="utf-8"?>
<queryTable xmlns="http://schemas.openxmlformats.org/spreadsheetml/2006/main" name="DD0130040_720" connectionId="132" autoFormatId="16" applyNumberFormats="0" applyBorderFormats="0" applyFontFormats="1" applyPatternFormats="1" applyAlignmentFormats="0" applyWidthHeightFormats="0"/>
</file>

<file path=xl/queryTables/queryTable1677.xml><?xml version="1.0" encoding="utf-8"?>
<queryTable xmlns="http://schemas.openxmlformats.org/spreadsheetml/2006/main" name="DD0130040_1001" connectionId="1" autoFormatId="16" applyNumberFormats="0" applyBorderFormats="0" applyFontFormats="1" applyPatternFormats="1" applyAlignmentFormats="0" applyWidthHeightFormats="0"/>
</file>

<file path=xl/queryTables/queryTable1678.xml><?xml version="1.0" encoding="utf-8"?>
<queryTable xmlns="http://schemas.openxmlformats.org/spreadsheetml/2006/main" name="DD0130040_1669" connectionId="757" autoFormatId="16" applyNumberFormats="0" applyBorderFormats="0" applyFontFormats="1" applyPatternFormats="1" applyAlignmentFormats="0" applyWidthHeightFormats="0"/>
</file>

<file path=xl/queryTables/queryTable1679.xml><?xml version="1.0" encoding="utf-8"?>
<queryTable xmlns="http://schemas.openxmlformats.org/spreadsheetml/2006/main" name="DD0130040_2100" connectionId="893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DD0130040_935" connectionId="1740" autoFormatId="16" applyNumberFormats="0" applyBorderFormats="0" applyFontFormats="1" applyPatternFormats="1" applyAlignmentFormats="0" applyWidthHeightFormats="0"/>
</file>

<file path=xl/queryTables/queryTable1680.xml><?xml version="1.0" encoding="utf-8"?>
<queryTable xmlns="http://schemas.openxmlformats.org/spreadsheetml/2006/main" name="DD0130040_484" connectionId="394" autoFormatId="16" applyNumberFormats="0" applyBorderFormats="0" applyFontFormats="1" applyPatternFormats="1" applyAlignmentFormats="0" applyWidthHeightFormats="0"/>
</file>

<file path=xl/queryTables/queryTable1681.xml><?xml version="1.0" encoding="utf-8"?>
<queryTable xmlns="http://schemas.openxmlformats.org/spreadsheetml/2006/main" name="DD0130040_1662" connectionId="835" autoFormatId="16" applyNumberFormats="0" applyBorderFormats="0" applyFontFormats="1" applyPatternFormats="1" applyAlignmentFormats="0" applyWidthHeightFormats="0"/>
</file>

<file path=xl/queryTables/queryTable1682.xml><?xml version="1.0" encoding="utf-8"?>
<queryTable xmlns="http://schemas.openxmlformats.org/spreadsheetml/2006/main" name="DD0130040_1764" connectionId="1514" autoFormatId="16" applyNumberFormats="0" applyBorderFormats="0" applyFontFormats="1" applyPatternFormats="1" applyAlignmentFormats="0" applyWidthHeightFormats="0"/>
</file>

<file path=xl/queryTables/queryTable1683.xml><?xml version="1.0" encoding="utf-8"?>
<queryTable xmlns="http://schemas.openxmlformats.org/spreadsheetml/2006/main" name="DD0130040_1699" connectionId="424" autoFormatId="16" applyNumberFormats="0" applyBorderFormats="0" applyFontFormats="1" applyPatternFormats="1" applyAlignmentFormats="0" applyWidthHeightFormats="0"/>
</file>

<file path=xl/queryTables/queryTable1684.xml><?xml version="1.0" encoding="utf-8"?>
<queryTable xmlns="http://schemas.openxmlformats.org/spreadsheetml/2006/main" name="DD0130040_576" connectionId="292" autoFormatId="16" applyNumberFormats="0" applyBorderFormats="0" applyFontFormats="1" applyPatternFormats="1" applyAlignmentFormats="0" applyWidthHeightFormats="0"/>
</file>

<file path=xl/queryTables/queryTable1685.xml><?xml version="1.0" encoding="utf-8"?>
<queryTable xmlns="http://schemas.openxmlformats.org/spreadsheetml/2006/main" name="DD0130040_1932" connectionId="707" autoFormatId="16" applyNumberFormats="0" applyBorderFormats="0" applyFontFormats="1" applyPatternFormats="1" applyAlignmentFormats="0" applyWidthHeightFormats="0"/>
</file>

<file path=xl/queryTables/queryTable1686.xml><?xml version="1.0" encoding="utf-8"?>
<queryTable xmlns="http://schemas.openxmlformats.org/spreadsheetml/2006/main" name="DD0130040_1994" connectionId="775" autoFormatId="16" applyNumberFormats="0" applyBorderFormats="0" applyFontFormats="1" applyPatternFormats="1" applyAlignmentFormats="0" applyWidthHeightFormats="0"/>
</file>

<file path=xl/queryTables/queryTable1687.xml><?xml version="1.0" encoding="utf-8"?>
<queryTable xmlns="http://schemas.openxmlformats.org/spreadsheetml/2006/main" name="DD0130040_952" connectionId="1759" autoFormatId="16" applyNumberFormats="0" applyBorderFormats="0" applyFontFormats="1" applyPatternFormats="1" applyAlignmentFormats="0" applyWidthHeightFormats="0"/>
</file>

<file path=xl/queryTables/queryTable1688.xml><?xml version="1.0" encoding="utf-8"?>
<queryTable xmlns="http://schemas.openxmlformats.org/spreadsheetml/2006/main" name="DD0130040_1207" connectionId="1537" autoFormatId="16" applyNumberFormats="0" applyBorderFormats="0" applyFontFormats="1" applyPatternFormats="1" applyAlignmentFormats="0" applyWidthHeightFormats="0"/>
</file>

<file path=xl/queryTables/queryTable1689.xml><?xml version="1.0" encoding="utf-8"?>
<queryTable xmlns="http://schemas.openxmlformats.org/spreadsheetml/2006/main" name="DD0130040_1880" connectionId="649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DD0130040_333" connectionId="561" autoFormatId="16" applyNumberFormats="0" applyBorderFormats="0" applyFontFormats="1" applyPatternFormats="1" applyAlignmentFormats="0" applyWidthHeightFormats="0"/>
</file>

<file path=xl/queryTables/queryTable1690.xml><?xml version="1.0" encoding="utf-8"?>
<queryTable xmlns="http://schemas.openxmlformats.org/spreadsheetml/2006/main" name="DD0130040_1120" connectionId="1633" autoFormatId="16" applyNumberFormats="0" applyBorderFormats="0" applyFontFormats="1" applyPatternFormats="1" applyAlignmentFormats="0" applyWidthHeightFormats="0"/>
</file>

<file path=xl/queryTables/queryTable1691.xml><?xml version="1.0" encoding="utf-8"?>
<queryTable xmlns="http://schemas.openxmlformats.org/spreadsheetml/2006/main" name="DD0130040_1549" connectionId="1156" autoFormatId="16" applyNumberFormats="0" applyBorderFormats="0" applyFontFormats="1" applyPatternFormats="1" applyAlignmentFormats="0" applyWidthHeightFormats="0"/>
</file>

<file path=xl/queryTables/queryTable1692.xml><?xml version="1.0" encoding="utf-8"?>
<queryTable xmlns="http://schemas.openxmlformats.org/spreadsheetml/2006/main" name="DD0130040_843" connectionId="966" autoFormatId="16" applyNumberFormats="0" applyBorderFormats="0" applyFontFormats="1" applyPatternFormats="1" applyAlignmentFormats="0" applyWidthHeightFormats="0"/>
</file>

<file path=xl/queryTables/queryTable1693.xml><?xml version="1.0" encoding="utf-8"?>
<queryTable xmlns="http://schemas.openxmlformats.org/spreadsheetml/2006/main" name="DD0130040_1768" connectionId="1469" autoFormatId="16" applyNumberFormats="0" applyBorderFormats="0" applyFontFormats="1" applyPatternFormats="1" applyAlignmentFormats="0" applyWidthHeightFormats="0"/>
</file>

<file path=xl/queryTables/queryTable1694.xml><?xml version="1.0" encoding="utf-8"?>
<queryTable xmlns="http://schemas.openxmlformats.org/spreadsheetml/2006/main" name="DD0130040_780" connectionId="1035" autoFormatId="16" applyNumberFormats="0" applyBorderFormats="0" applyFontFormats="1" applyPatternFormats="1" applyAlignmentFormats="0" applyWidthHeightFormats="0"/>
</file>

<file path=xl/queryTables/queryTable1695.xml><?xml version="1.0" encoding="utf-8"?>
<queryTable xmlns="http://schemas.openxmlformats.org/spreadsheetml/2006/main" name="DD0130040_1697" connectionId="446" autoFormatId="16" applyNumberFormats="0" applyBorderFormats="0" applyFontFormats="1" applyPatternFormats="1" applyAlignmentFormats="0" applyWidthHeightFormats="0"/>
</file>

<file path=xl/queryTables/queryTable1696.xml><?xml version="1.0" encoding="utf-8"?>
<queryTable xmlns="http://schemas.openxmlformats.org/spreadsheetml/2006/main" name="DD0130040_944" connectionId="1750" autoFormatId="16" applyNumberFormats="0" applyBorderFormats="0" applyFontFormats="1" applyPatternFormats="1" applyAlignmentFormats="0" applyWidthHeightFormats="0"/>
</file>

<file path=xl/queryTables/queryTable1697.xml><?xml version="1.0" encoding="utf-8"?>
<queryTable xmlns="http://schemas.openxmlformats.org/spreadsheetml/2006/main" name="DD0130040_2103" connectionId="896" autoFormatId="16" applyNumberFormats="0" applyBorderFormats="0" applyFontFormats="1" applyPatternFormats="1" applyAlignmentFormats="0" applyWidthHeightFormats="0"/>
</file>

<file path=xl/queryTables/queryTable1698.xml><?xml version="1.0" encoding="utf-8"?>
<queryTable xmlns="http://schemas.openxmlformats.org/spreadsheetml/2006/main" name="DD0130040_1235" connectionId="1506" autoFormatId="16" applyNumberFormats="0" applyBorderFormats="0" applyFontFormats="1" applyPatternFormats="1" applyAlignmentFormats="0" applyWidthHeightFormats="0"/>
</file>

<file path=xl/queryTables/queryTable1699.xml><?xml version="1.0" encoding="utf-8"?>
<queryTable xmlns="http://schemas.openxmlformats.org/spreadsheetml/2006/main" name="DD0130040_2085" connectionId="87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DD0130040_804" connectionId="1009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DD0130040_371" connectionId="519" autoFormatId="16" applyNumberFormats="0" applyBorderFormats="0" applyFontFormats="1" applyPatternFormats="1" applyAlignmentFormats="0" applyWidthHeightFormats="0"/>
</file>

<file path=xl/queryTables/queryTable1700.xml><?xml version="1.0" encoding="utf-8"?>
<queryTable xmlns="http://schemas.openxmlformats.org/spreadsheetml/2006/main" name="DD0130040_1084" connectionId="1673" autoFormatId="16" applyNumberFormats="0" applyBorderFormats="0" applyFontFormats="1" applyPatternFormats="1" applyAlignmentFormats="0" applyWidthHeightFormats="0"/>
</file>

<file path=xl/queryTables/queryTable1701.xml><?xml version="1.0" encoding="utf-8"?>
<queryTable xmlns="http://schemas.openxmlformats.org/spreadsheetml/2006/main" name="DD0130040_545" connectionId="326" autoFormatId="16" applyNumberFormats="0" applyBorderFormats="0" applyFontFormats="1" applyPatternFormats="1" applyAlignmentFormats="0" applyWidthHeightFormats="0"/>
</file>

<file path=xl/queryTables/queryTable1702.xml><?xml version="1.0" encoding="utf-8"?>
<queryTable xmlns="http://schemas.openxmlformats.org/spreadsheetml/2006/main" name="DD0130040_2051" connectionId="839" autoFormatId="16" applyNumberFormats="0" applyBorderFormats="0" applyFontFormats="1" applyPatternFormats="1" applyAlignmentFormats="0" applyWidthHeightFormats="0"/>
</file>

<file path=xl/queryTables/queryTable1703.xml><?xml version="1.0" encoding="utf-8"?>
<queryTable xmlns="http://schemas.openxmlformats.org/spreadsheetml/2006/main" name="DD0130040_1206" connectionId="1538" autoFormatId="16" applyNumberFormats="0" applyBorderFormats="0" applyFontFormats="1" applyPatternFormats="1" applyAlignmentFormats="0" applyWidthHeightFormats="0"/>
</file>

<file path=xl/queryTables/queryTable1704.xml><?xml version="1.0" encoding="utf-8"?>
<queryTable xmlns="http://schemas.openxmlformats.org/spreadsheetml/2006/main" name="DD0130040_795" connectionId="1019" autoFormatId="16" applyNumberFormats="0" applyBorderFormats="0" applyFontFormats="1" applyPatternFormats="1" applyAlignmentFormats="0" applyWidthHeightFormats="0"/>
</file>

<file path=xl/queryTables/queryTable1705.xml><?xml version="1.0" encoding="utf-8"?>
<queryTable xmlns="http://schemas.openxmlformats.org/spreadsheetml/2006/main" name="DD0130040_1028" connectionId="32" autoFormatId="16" applyNumberFormats="0" applyBorderFormats="0" applyFontFormats="1" applyPatternFormats="1" applyAlignmentFormats="0" applyWidthHeightFormats="0"/>
</file>

<file path=xl/queryTables/queryTable1706.xml><?xml version="1.0" encoding="utf-8"?>
<queryTable xmlns="http://schemas.openxmlformats.org/spreadsheetml/2006/main" name="DD0130040_1331" connectionId="1399" autoFormatId="16" applyNumberFormats="0" applyBorderFormats="0" applyFontFormats="1" applyPatternFormats="1" applyAlignmentFormats="0" applyWidthHeightFormats="0"/>
</file>

<file path=xl/queryTables/queryTable1707.xml><?xml version="1.0" encoding="utf-8"?>
<queryTable xmlns="http://schemas.openxmlformats.org/spreadsheetml/2006/main" name="DD0130040_1828" connectionId="1712" autoFormatId="16" applyNumberFormats="0" applyBorderFormats="0" applyFontFormats="1" applyPatternFormats="1" applyAlignmentFormats="0" applyWidthHeightFormats="0"/>
</file>

<file path=xl/queryTables/queryTable1708.xml><?xml version="1.0" encoding="utf-8"?>
<queryTable xmlns="http://schemas.openxmlformats.org/spreadsheetml/2006/main" name="DD0130040_1494" connectionId="1218" autoFormatId="16" applyNumberFormats="0" applyBorderFormats="0" applyFontFormats="1" applyPatternFormats="1" applyAlignmentFormats="0" applyWidthHeightFormats="0"/>
</file>

<file path=xl/queryTables/queryTable1709.xml><?xml version="1.0" encoding="utf-8"?>
<queryTable xmlns="http://schemas.openxmlformats.org/spreadsheetml/2006/main" name="DD0130040_1993" connectionId="774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DD0130040_1934" connectionId="709" autoFormatId="16" applyNumberFormats="0" applyBorderFormats="0" applyFontFormats="1" applyPatternFormats="1" applyAlignmentFormats="0" applyWidthHeightFormats="0"/>
</file>

<file path=xl/queryTables/queryTable1710.xml><?xml version="1.0" encoding="utf-8"?>
<queryTable xmlns="http://schemas.openxmlformats.org/spreadsheetml/2006/main" name="DD0130040_1345" connectionId="1384" autoFormatId="16" applyNumberFormats="0" applyBorderFormats="0" applyFontFormats="1" applyPatternFormats="1" applyAlignmentFormats="0" applyWidthHeightFormats="0"/>
</file>

<file path=xl/queryTables/queryTable1711.xml><?xml version="1.0" encoding="utf-8"?>
<queryTable xmlns="http://schemas.openxmlformats.org/spreadsheetml/2006/main" name="DD0130040_1085" connectionId="1672" autoFormatId="16" applyNumberFormats="0" applyBorderFormats="0" applyFontFormats="1" applyPatternFormats="1" applyAlignmentFormats="0" applyWidthHeightFormats="0"/>
</file>

<file path=xl/queryTables/queryTable1712.xml><?xml version="1.0" encoding="utf-8"?>
<queryTable xmlns="http://schemas.openxmlformats.org/spreadsheetml/2006/main" name="DD0130040_1716" connectionId="236" autoFormatId="16" applyNumberFormats="0" applyBorderFormats="0" applyFontFormats="1" applyPatternFormats="1" applyAlignmentFormats="0" applyWidthHeightFormats="0"/>
</file>

<file path=xl/queryTables/queryTable1713.xml><?xml version="1.0" encoding="utf-8"?>
<queryTable xmlns="http://schemas.openxmlformats.org/spreadsheetml/2006/main" name="DD0130040_1221" connectionId="1521" autoFormatId="16" applyNumberFormats="0" applyBorderFormats="0" applyFontFormats="1" applyPatternFormats="1" applyAlignmentFormats="0" applyWidthHeightFormats="0"/>
</file>

<file path=xl/queryTables/queryTable1714.xml><?xml version="1.0" encoding="utf-8"?>
<queryTable xmlns="http://schemas.openxmlformats.org/spreadsheetml/2006/main" name="DD0130040_1076" connectionId="85" autoFormatId="16" applyNumberFormats="0" applyBorderFormats="0" applyFontFormats="1" applyPatternFormats="1" applyAlignmentFormats="0" applyWidthHeightFormats="0"/>
</file>

<file path=xl/queryTables/queryTable1715.xml><?xml version="1.0" encoding="utf-8"?>
<queryTable xmlns="http://schemas.openxmlformats.org/spreadsheetml/2006/main" name="DD0130040_1679" connectionId="646" autoFormatId="16" applyNumberFormats="0" applyBorderFormats="0" applyFontFormats="1" applyPatternFormats="1" applyAlignmentFormats="0" applyWidthHeightFormats="0"/>
</file>

<file path=xl/queryTables/queryTable1716.xml><?xml version="1.0" encoding="utf-8"?>
<queryTable xmlns="http://schemas.openxmlformats.org/spreadsheetml/2006/main" name="DD0130040_674" connectionId="183" autoFormatId="16" applyNumberFormats="0" applyBorderFormats="0" applyFontFormats="1" applyPatternFormats="1" applyAlignmentFormats="0" applyWidthHeightFormats="0"/>
</file>

<file path=xl/queryTables/queryTable1717.xml><?xml version="1.0" encoding="utf-8"?>
<queryTable xmlns="http://schemas.openxmlformats.org/spreadsheetml/2006/main" name="DD0130040_1243" connectionId="1497" autoFormatId="16" applyNumberFormats="0" applyBorderFormats="0" applyFontFormats="1" applyPatternFormats="1" applyAlignmentFormats="0" applyWidthHeightFormats="0"/>
</file>

<file path=xl/queryTables/queryTable1718.xml><?xml version="1.0" encoding="utf-8"?>
<queryTable xmlns="http://schemas.openxmlformats.org/spreadsheetml/2006/main" name="DD0130040_331" connectionId="563" autoFormatId="16" applyNumberFormats="0" applyBorderFormats="0" applyFontFormats="1" applyPatternFormats="1" applyAlignmentFormats="0" applyWidthHeightFormats="0"/>
</file>

<file path=xl/queryTables/queryTable1719.xml><?xml version="1.0" encoding="utf-8"?>
<queryTable xmlns="http://schemas.openxmlformats.org/spreadsheetml/2006/main" name="DD0130040_1767" connectionId="1480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DD0130040_432" connectionId="451" autoFormatId="16" applyNumberFormats="0" applyBorderFormats="0" applyFontFormats="1" applyPatternFormats="1" applyAlignmentFormats="0" applyWidthHeightFormats="0"/>
</file>

<file path=xl/queryTables/queryTable1720.xml><?xml version="1.0" encoding="utf-8"?>
<queryTable xmlns="http://schemas.openxmlformats.org/spreadsheetml/2006/main" name="DD0130040_358" connectionId="533" autoFormatId="16" applyNumberFormats="0" applyBorderFormats="0" applyFontFormats="1" applyPatternFormats="1" applyAlignmentFormats="0" applyWidthHeightFormats="0"/>
</file>

<file path=xl/queryTables/queryTable1721.xml><?xml version="1.0" encoding="utf-8"?>
<queryTable xmlns="http://schemas.openxmlformats.org/spreadsheetml/2006/main" name="DD0130040_1759" connectionId="1569" autoFormatId="16" applyNumberFormats="0" applyBorderFormats="0" applyFontFormats="1" applyPatternFormats="1" applyAlignmentFormats="0" applyWidthHeightFormats="0"/>
</file>

<file path=xl/queryTables/queryTable1722.xml><?xml version="1.0" encoding="utf-8"?>
<queryTable xmlns="http://schemas.openxmlformats.org/spreadsheetml/2006/main" name="DD0130040_755" connectionId="93" autoFormatId="16" applyNumberFormats="0" applyBorderFormats="0" applyFontFormats="1" applyPatternFormats="1" applyAlignmentFormats="0" applyWidthHeightFormats="0"/>
</file>

<file path=xl/queryTables/queryTable1723.xml><?xml version="1.0" encoding="utf-8"?>
<queryTable xmlns="http://schemas.openxmlformats.org/spreadsheetml/2006/main" name="DD0130040_1749" connectionId="1680" autoFormatId="16" applyNumberFormats="0" applyBorderFormats="0" applyFontFormats="1" applyPatternFormats="1" applyAlignmentFormats="0" applyWidthHeightFormats="0"/>
</file>

<file path=xl/queryTables/queryTable1724.xml><?xml version="1.0" encoding="utf-8"?>
<queryTable xmlns="http://schemas.openxmlformats.org/spreadsheetml/2006/main" name="DD0130040_1303" connectionId="1430" autoFormatId="16" applyNumberFormats="0" applyBorderFormats="0" applyFontFormats="1" applyPatternFormats="1" applyAlignmentFormats="0" applyWidthHeightFormats="0"/>
</file>

<file path=xl/queryTables/queryTable1725.xml><?xml version="1.0" encoding="utf-8"?>
<queryTable xmlns="http://schemas.openxmlformats.org/spreadsheetml/2006/main" name="DD0130040_824" connectionId="987" autoFormatId="16" applyNumberFormats="0" applyBorderFormats="0" applyFontFormats="1" applyPatternFormats="1" applyAlignmentFormats="0" applyWidthHeightFormats="0"/>
</file>

<file path=xl/queryTables/queryTable1726.xml><?xml version="1.0" encoding="utf-8"?>
<queryTable xmlns="http://schemas.openxmlformats.org/spreadsheetml/2006/main" name="DD0130040_1327" connectionId="1404" autoFormatId="16" applyNumberFormats="0" applyBorderFormats="0" applyFontFormats="1" applyPatternFormats="1" applyAlignmentFormats="0" applyWidthHeightFormats="0"/>
</file>

<file path=xl/queryTables/queryTable1727.xml><?xml version="1.0" encoding="utf-8"?>
<queryTable xmlns="http://schemas.openxmlformats.org/spreadsheetml/2006/main" name="DD0130040_1107" connectionId="1648" autoFormatId="16" applyNumberFormats="0" applyBorderFormats="0" applyFontFormats="1" applyPatternFormats="1" applyAlignmentFormats="0" applyWidthHeightFormats="0"/>
</file>

<file path=xl/queryTables/queryTable1728.xml><?xml version="1.0" encoding="utf-8"?>
<queryTable xmlns="http://schemas.openxmlformats.org/spreadsheetml/2006/main" name="DD0130040_2090" connectionId="882" autoFormatId="16" applyNumberFormats="0" applyBorderFormats="0" applyFontFormats="1" applyPatternFormats="1" applyAlignmentFormats="0" applyWidthHeightFormats="0"/>
</file>

<file path=xl/queryTables/queryTable1729.xml><?xml version="1.0" encoding="utf-8"?>
<queryTable xmlns="http://schemas.openxmlformats.org/spreadsheetml/2006/main" name="DD0130040_1846" connectionId="611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DD0130040_1820" connectionId="789" autoFormatId="16" applyNumberFormats="0" applyBorderFormats="0" applyFontFormats="1" applyPatternFormats="1" applyAlignmentFormats="0" applyWidthHeightFormats="0"/>
</file>

<file path=xl/queryTables/queryTable1730.xml><?xml version="1.0" encoding="utf-8"?>
<queryTable xmlns="http://schemas.openxmlformats.org/spreadsheetml/2006/main" name="DD0130040_1839" connectionId="604" autoFormatId="16" applyNumberFormats="0" applyBorderFormats="0" applyFontFormats="1" applyPatternFormats="1" applyAlignmentFormats="0" applyWidthHeightFormats="0"/>
</file>

<file path=xl/queryTables/queryTable1731.xml><?xml version="1.0" encoding="utf-8"?>
<queryTable xmlns="http://schemas.openxmlformats.org/spreadsheetml/2006/main" name="DD0130040_616" connectionId="248" autoFormatId="16" applyNumberFormats="0" applyBorderFormats="0" applyFontFormats="1" applyPatternFormats="1" applyAlignmentFormats="0" applyWidthHeightFormats="0"/>
</file>

<file path=xl/queryTables/queryTable1732.xml><?xml version="1.0" encoding="utf-8"?>
<queryTable xmlns="http://schemas.openxmlformats.org/spreadsheetml/2006/main" name="DD0130040_773" connectionId="1043" autoFormatId="16" applyNumberFormats="0" applyBorderFormats="0" applyFontFormats="1" applyPatternFormats="1" applyAlignmentFormats="0" applyWidthHeightFormats="0"/>
</file>

<file path=xl/queryTables/queryTable1733.xml><?xml version="1.0" encoding="utf-8"?>
<queryTable xmlns="http://schemas.openxmlformats.org/spreadsheetml/2006/main" name="DD0130040_1640" connectionId="921" autoFormatId="16" applyNumberFormats="0" applyBorderFormats="0" applyFontFormats="1" applyPatternFormats="1" applyAlignmentFormats="0" applyWidthHeightFormats="0"/>
</file>

<file path=xl/queryTables/queryTable1734.xml><?xml version="1.0" encoding="utf-8"?>
<queryTable xmlns="http://schemas.openxmlformats.org/spreadsheetml/2006/main" name="DD0130040_1125" connectionId="1628" autoFormatId="16" applyNumberFormats="0" applyBorderFormats="0" applyFontFormats="1" applyPatternFormats="1" applyAlignmentFormats="0" applyWidthHeightFormats="0"/>
</file>

<file path=xl/queryTables/queryTable1735.xml><?xml version="1.0" encoding="utf-8"?>
<queryTable xmlns="http://schemas.openxmlformats.org/spreadsheetml/2006/main" name="DD0130040_1813" connectionId="970" autoFormatId="16" applyNumberFormats="0" applyBorderFormats="0" applyFontFormats="1" applyPatternFormats="1" applyAlignmentFormats="0" applyWidthHeightFormats="0"/>
</file>

<file path=xl/queryTables/queryTable1736.xml><?xml version="1.0" encoding="utf-8"?>
<queryTable xmlns="http://schemas.openxmlformats.org/spreadsheetml/2006/main" name="DD0130040_415" connectionId="471" autoFormatId="16" applyNumberFormats="0" applyBorderFormats="0" applyFontFormats="1" applyPatternFormats="1" applyAlignmentFormats="0" applyWidthHeightFormats="0"/>
</file>

<file path=xl/queryTables/queryTable1737.xml><?xml version="1.0" encoding="utf-8"?>
<queryTable xmlns="http://schemas.openxmlformats.org/spreadsheetml/2006/main" name="DD0130040_1180" connectionId="1566" autoFormatId="16" applyNumberFormats="0" applyBorderFormats="0" applyFontFormats="1" applyPatternFormats="1" applyAlignmentFormats="0" applyWidthHeightFormats="0"/>
</file>

<file path=xl/queryTables/queryTable1738.xml><?xml version="1.0" encoding="utf-8"?>
<queryTable xmlns="http://schemas.openxmlformats.org/spreadsheetml/2006/main" name="DD0130040_919" connectionId="1722" autoFormatId="16" applyNumberFormats="0" applyBorderFormats="0" applyFontFormats="1" applyPatternFormats="1" applyAlignmentFormats="0" applyWidthHeightFormats="0"/>
</file>

<file path=xl/queryTables/queryTable1739.xml><?xml version="1.0" encoding="utf-8"?>
<queryTable xmlns="http://schemas.openxmlformats.org/spreadsheetml/2006/main" name="DD0130040_706" connectionId="148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DD0130040_1264" connectionId="1473" autoFormatId="16" applyNumberFormats="0" applyBorderFormats="0" applyFontFormats="1" applyPatternFormats="1" applyAlignmentFormats="0" applyWidthHeightFormats="0"/>
</file>

<file path=xl/queryTables/queryTable1740.xml><?xml version="1.0" encoding="utf-8"?>
<queryTable xmlns="http://schemas.openxmlformats.org/spreadsheetml/2006/main" name="DD0130040_1140" connectionId="1611" autoFormatId="16" applyNumberFormats="0" applyBorderFormats="0" applyFontFormats="1" applyPatternFormats="1" applyAlignmentFormats="0" applyWidthHeightFormats="0"/>
</file>

<file path=xl/queryTables/queryTable1741.xml><?xml version="1.0" encoding="utf-8"?>
<queryTable xmlns="http://schemas.openxmlformats.org/spreadsheetml/2006/main" name="DD0130040_468" connectionId="411" autoFormatId="16" applyNumberFormats="0" applyBorderFormats="0" applyFontFormats="1" applyPatternFormats="1" applyAlignmentFormats="0" applyWidthHeightFormats="0"/>
</file>

<file path=xl/queryTables/queryTable1742.xml><?xml version="1.0" encoding="utf-8"?>
<queryTable xmlns="http://schemas.openxmlformats.org/spreadsheetml/2006/main" name="DD0130040_1170" connectionId="1577" autoFormatId="16" applyNumberFormats="0" applyBorderFormats="0" applyFontFormats="1" applyPatternFormats="1" applyAlignmentFormats="0" applyWidthHeightFormats="0"/>
</file>

<file path=xl/queryTables/queryTable1743.xml><?xml version="1.0" encoding="utf-8"?>
<queryTable xmlns="http://schemas.openxmlformats.org/spreadsheetml/2006/main" name="DD0130040_1955" connectionId="732" autoFormatId="16" applyNumberFormats="0" applyBorderFormats="0" applyFontFormats="1" applyPatternFormats="1" applyAlignmentFormats="0" applyWidthHeightFormats="0"/>
</file>

<file path=xl/queryTables/queryTable1744.xml><?xml version="1.0" encoding="utf-8"?>
<queryTable xmlns="http://schemas.openxmlformats.org/spreadsheetml/2006/main" name="DD0130040_1056" connectionId="63" autoFormatId="16" applyNumberFormats="0" applyBorderFormats="0" applyFontFormats="1" applyPatternFormats="1" applyAlignmentFormats="0" applyWidthHeightFormats="0"/>
</file>

<file path=xl/queryTables/queryTable1745.xml><?xml version="1.0" encoding="utf-8"?>
<queryTable xmlns="http://schemas.openxmlformats.org/spreadsheetml/2006/main" name="DD0130040_1641" connectionId="920" autoFormatId="16" applyNumberFormats="0" applyBorderFormats="0" applyFontFormats="1" applyPatternFormats="1" applyAlignmentFormats="0" applyWidthHeightFormats="0"/>
</file>

<file path=xl/queryTables/queryTable1746.xml><?xml version="1.0" encoding="utf-8"?>
<queryTable xmlns="http://schemas.openxmlformats.org/spreadsheetml/2006/main" name="DD0130040_502" connectionId="374" autoFormatId="16" applyNumberFormats="0" applyBorderFormats="0" applyFontFormats="1" applyPatternFormats="1" applyAlignmentFormats="0" applyWidthHeightFormats="0"/>
</file>

<file path=xl/queryTables/queryTable1747.xml><?xml version="1.0" encoding="utf-8"?>
<queryTable xmlns="http://schemas.openxmlformats.org/spreadsheetml/2006/main" name="DD0130040_1714" connectionId="258" autoFormatId="16" applyNumberFormats="0" applyBorderFormats="0" applyFontFormats="1" applyPatternFormats="1" applyAlignmentFormats="0" applyWidthHeightFormats="0"/>
</file>

<file path=xl/queryTables/queryTable1748.xml><?xml version="1.0" encoding="utf-8"?>
<queryTable xmlns="http://schemas.openxmlformats.org/spreadsheetml/2006/main" name="DD0130040_1747" connectionId="1702" autoFormatId="16" applyNumberFormats="0" applyBorderFormats="0" applyFontFormats="1" applyPatternFormats="1" applyAlignmentFormats="0" applyWidthHeightFormats="0"/>
</file>

<file path=xl/queryTables/queryTable1749.xml><?xml version="1.0" encoding="utf-8"?>
<queryTable xmlns="http://schemas.openxmlformats.org/spreadsheetml/2006/main" name="DD0130040_1604" connectionId="1096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DD0130040_1442" connectionId="1276" autoFormatId="16" applyNumberFormats="0" applyBorderFormats="0" applyFontFormats="1" applyPatternFormats="1" applyAlignmentFormats="0" applyWidthHeightFormats="0"/>
</file>

<file path=xl/queryTables/queryTable1750.xml><?xml version="1.0" encoding="utf-8"?>
<queryTable xmlns="http://schemas.openxmlformats.org/spreadsheetml/2006/main" name="DD0130040_1488" connectionId="1224" autoFormatId="16" applyNumberFormats="0" applyBorderFormats="0" applyFontFormats="1" applyPatternFormats="1" applyAlignmentFormats="0" applyWidthHeightFormats="0"/>
</file>

<file path=xl/queryTables/queryTable1751.xml><?xml version="1.0" encoding="utf-8"?>
<queryTable xmlns="http://schemas.openxmlformats.org/spreadsheetml/2006/main" name="DD0130040_431" connectionId="452" autoFormatId="16" applyNumberFormats="0" applyBorderFormats="0" applyFontFormats="1" applyPatternFormats="1" applyAlignmentFormats="0" applyWidthHeightFormats="0"/>
</file>

<file path=xl/queryTables/queryTable1752.xml><?xml version="1.0" encoding="utf-8"?>
<queryTable xmlns="http://schemas.openxmlformats.org/spreadsheetml/2006/main" name="DD0130040_412" connectionId="474" autoFormatId="16" applyNumberFormats="0" applyBorderFormats="0" applyFontFormats="1" applyPatternFormats="1" applyAlignmentFormats="0" applyWidthHeightFormats="0"/>
</file>

<file path=xl/queryTables/queryTable1753.xml><?xml version="1.0" encoding="utf-8"?>
<queryTable xmlns="http://schemas.openxmlformats.org/spreadsheetml/2006/main" name="DD0130040_1315" connectionId="1417" autoFormatId="16" applyNumberFormats="0" applyBorderFormats="0" applyFontFormats="1" applyPatternFormats="1" applyAlignmentFormats="0" applyWidthHeightFormats="0"/>
</file>

<file path=xl/queryTables/queryTable1754.xml><?xml version="1.0" encoding="utf-8"?>
<queryTable xmlns="http://schemas.openxmlformats.org/spreadsheetml/2006/main" name="DD0130040_414" connectionId="472" autoFormatId="16" applyNumberFormats="0" applyBorderFormats="0" applyFontFormats="1" applyPatternFormats="1" applyAlignmentFormats="0" applyWidthHeightFormats="0"/>
</file>

<file path=xl/queryTables/queryTable1755.xml><?xml version="1.0" encoding="utf-8"?>
<queryTable xmlns="http://schemas.openxmlformats.org/spreadsheetml/2006/main" name="DD0130040_1396" connectionId="1327" autoFormatId="16" applyNumberFormats="0" applyBorderFormats="0" applyFontFormats="1" applyPatternFormats="1" applyAlignmentFormats="0" applyWidthHeightFormats="0"/>
</file>

<file path=xl/queryTables/queryTable1756.xml><?xml version="1.0" encoding="utf-8"?>
<queryTable xmlns="http://schemas.openxmlformats.org/spreadsheetml/2006/main" name="DD0130040_2039" connectionId="826" autoFormatId="16" applyNumberFormats="0" applyBorderFormats="0" applyFontFormats="1" applyPatternFormats="1" applyAlignmentFormats="0" applyWidthHeightFormats="0"/>
</file>

<file path=xl/queryTables/queryTable1757.xml><?xml version="1.0" encoding="utf-8"?>
<queryTable xmlns="http://schemas.openxmlformats.org/spreadsheetml/2006/main" name="DD0130040_1097" connectionId="1659" autoFormatId="16" applyNumberFormats="0" applyBorderFormats="0" applyFontFormats="1" applyPatternFormats="1" applyAlignmentFormats="0" applyWidthHeightFormats="0"/>
</file>

<file path=xl/queryTables/queryTable1758.xml><?xml version="1.0" encoding="utf-8"?>
<queryTable xmlns="http://schemas.openxmlformats.org/spreadsheetml/2006/main" name="DD0130040_1002" connectionId="3" autoFormatId="16" applyNumberFormats="0" applyBorderFormats="0" applyFontFormats="1" applyPatternFormats="1" applyAlignmentFormats="0" applyWidthHeightFormats="0"/>
</file>

<file path=xl/queryTables/queryTable1759.xml><?xml version="1.0" encoding="utf-8"?>
<queryTable xmlns="http://schemas.openxmlformats.org/spreadsheetml/2006/main" name="DD0130040_1627" connectionId="1071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DD0130040_1532" connectionId="1176" autoFormatId="16" applyNumberFormats="0" applyBorderFormats="0" applyFontFormats="1" applyPatternFormats="1" applyAlignmentFormats="0" applyWidthHeightFormats="0"/>
</file>

<file path=xl/queryTables/queryTable1760.xml><?xml version="1.0" encoding="utf-8"?>
<queryTable xmlns="http://schemas.openxmlformats.org/spreadsheetml/2006/main" name="DD0130040_1947" connectionId="723" autoFormatId="16" applyNumberFormats="0" applyBorderFormats="0" applyFontFormats="1" applyPatternFormats="1" applyAlignmentFormats="0" applyWidthHeightFormats="0"/>
</file>

<file path=xl/queryTables/queryTable1761.xml><?xml version="1.0" encoding="utf-8"?>
<queryTable xmlns="http://schemas.openxmlformats.org/spreadsheetml/2006/main" name="DD0130040_631" connectionId="230" autoFormatId="16" applyNumberFormats="0" applyBorderFormats="0" applyFontFormats="1" applyPatternFormats="1" applyAlignmentFormats="0" applyWidthHeightFormats="0"/>
</file>

<file path=xl/queryTables/queryTable1762.xml><?xml version="1.0" encoding="utf-8"?>
<queryTable xmlns="http://schemas.openxmlformats.org/spreadsheetml/2006/main" name="DD0130040_1174" connectionId="1573" autoFormatId="16" applyNumberFormats="0" applyBorderFormats="0" applyFontFormats="1" applyPatternFormats="1" applyAlignmentFormats="0" applyWidthHeightFormats="0"/>
</file>

<file path=xl/queryTables/queryTable1763.xml><?xml version="1.0" encoding="utf-8"?>
<queryTable xmlns="http://schemas.openxmlformats.org/spreadsheetml/2006/main" name="DD0130040_399" connectionId="488" autoFormatId="16" applyNumberFormats="0" applyBorderFormats="0" applyFontFormats="1" applyPatternFormats="1" applyAlignmentFormats="0" applyWidthHeightFormats="0"/>
</file>

<file path=xl/queryTables/queryTable1764.xml><?xml version="1.0" encoding="utf-8"?>
<queryTable xmlns="http://schemas.openxmlformats.org/spreadsheetml/2006/main" name="DD0130040_1992" connectionId="773" autoFormatId="16" applyNumberFormats="0" applyBorderFormats="0" applyFontFormats="1" applyPatternFormats="1" applyAlignmentFormats="0" applyWidthHeightFormats="0"/>
</file>

<file path=xl/queryTables/queryTable1765.xml><?xml version="1.0" encoding="utf-8"?>
<queryTable xmlns="http://schemas.openxmlformats.org/spreadsheetml/2006/main" name="DD0130040_684" connectionId="172" autoFormatId="16" applyNumberFormats="0" applyBorderFormats="0" applyFontFormats="1" applyPatternFormats="1" applyAlignmentFormats="0" applyWidthHeightFormats="0"/>
</file>

<file path=xl/queryTables/queryTable1766.xml><?xml version="1.0" encoding="utf-8"?>
<queryTable xmlns="http://schemas.openxmlformats.org/spreadsheetml/2006/main" name="DD0130040_562" connectionId="307" autoFormatId="16" applyNumberFormats="0" applyBorderFormats="0" applyFontFormats="1" applyPatternFormats="1" applyAlignmentFormats="0" applyWidthHeightFormats="0"/>
</file>

<file path=xl/queryTables/queryTable1767.xml><?xml version="1.0" encoding="utf-8"?>
<queryTable xmlns="http://schemas.openxmlformats.org/spreadsheetml/2006/main" name="DD0130040_1287" connectionId="1448" autoFormatId="16" applyNumberFormats="0" applyBorderFormats="0" applyFontFormats="1" applyPatternFormats="1" applyAlignmentFormats="0" applyWidthHeightFormats="0"/>
</file>

<file path=xl/queryTables/queryTable1768.xml><?xml version="1.0" encoding="utf-8"?>
<queryTable xmlns="http://schemas.openxmlformats.org/spreadsheetml/2006/main" name="DD0130040_1790" connectionId="1225" autoFormatId="16" applyNumberFormats="0" applyBorderFormats="0" applyFontFormats="1" applyPatternFormats="1" applyAlignmentFormats="0" applyWidthHeightFormats="0"/>
</file>

<file path=xl/queryTables/queryTable1769.xml><?xml version="1.0" encoding="utf-8"?>
<queryTable xmlns="http://schemas.openxmlformats.org/spreadsheetml/2006/main" name="DD0130040_565" connectionId="304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DD0130040_1806" connectionId="1048" autoFormatId="16" applyNumberFormats="0" applyBorderFormats="0" applyFontFormats="1" applyPatternFormats="1" applyAlignmentFormats="0" applyWidthHeightFormats="0"/>
</file>

<file path=xl/queryTables/queryTable1770.xml><?xml version="1.0" encoding="utf-8"?>
<queryTable xmlns="http://schemas.openxmlformats.org/spreadsheetml/2006/main" name="DD0130040_610" connectionId="254" autoFormatId="16" applyNumberFormats="0" applyBorderFormats="0" applyFontFormats="1" applyPatternFormats="1" applyAlignmentFormats="0" applyWidthHeightFormats="0"/>
</file>

<file path=xl/queryTables/queryTable1771.xml><?xml version="1.0" encoding="utf-8"?>
<queryTable xmlns="http://schemas.openxmlformats.org/spreadsheetml/2006/main" name="DD0130040_959" connectionId="1766" autoFormatId="16" applyNumberFormats="0" applyBorderFormats="0" applyFontFormats="1" applyPatternFormats="1" applyAlignmentFormats="0" applyWidthHeightFormats="0"/>
</file>

<file path=xl/queryTables/queryTable1772.xml><?xml version="1.0" encoding="utf-8"?>
<queryTable xmlns="http://schemas.openxmlformats.org/spreadsheetml/2006/main" name="DD0130040_1632" connectionId="1065" autoFormatId="16" applyNumberFormats="0" applyBorderFormats="0" applyFontFormats="1" applyPatternFormats="1" applyAlignmentFormats="0" applyWidthHeightFormats="0"/>
</file>

<file path=xl/queryTables/queryTable1773.xml><?xml version="1.0" encoding="utf-8"?>
<queryTable xmlns="http://schemas.openxmlformats.org/spreadsheetml/2006/main" name="DD0130040_761" connectionId="1057" autoFormatId="16" applyNumberFormats="0" applyBorderFormats="0" applyFontFormats="1" applyPatternFormats="1" applyAlignmentFormats="0" applyWidthHeightFormats="0"/>
</file>

<file path=xl/queryTables/queryTable1774.xml><?xml version="1.0" encoding="utf-8"?>
<queryTable xmlns="http://schemas.openxmlformats.org/spreadsheetml/2006/main" name="DD0130040_638" connectionId="222" autoFormatId="16" applyNumberFormats="0" applyBorderFormats="0" applyFontFormats="1" applyPatternFormats="1" applyAlignmentFormats="0" applyWidthHeightFormats="0"/>
</file>

<file path=xl/queryTables/queryTable1775.xml><?xml version="1.0" encoding="utf-8"?>
<queryTable xmlns="http://schemas.openxmlformats.org/spreadsheetml/2006/main" name="DD0130040_564" connectionId="305" autoFormatId="16" applyNumberFormats="0" applyBorderFormats="0" applyFontFormats="1" applyPatternFormats="1" applyAlignmentFormats="0" applyWidthHeightFormats="0"/>
</file>

<file path=xl/queryTables/queryTable1776.xml><?xml version="1.0" encoding="utf-8"?>
<queryTable xmlns="http://schemas.openxmlformats.org/spreadsheetml/2006/main" name="DD0130040_2022" connectionId="807" autoFormatId="16" applyNumberFormats="0" applyBorderFormats="0" applyFontFormats="1" applyPatternFormats="1" applyAlignmentFormats="0" applyWidthHeightFormats="0"/>
</file>

<file path=xl/queryTables/queryTable1777.xml><?xml version="1.0" encoding="utf-8"?>
<queryTable xmlns="http://schemas.openxmlformats.org/spreadsheetml/2006/main" name="DD0130040_2081" connectionId="872" autoFormatId="16" applyNumberFormats="0" applyBorderFormats="0" applyFontFormats="1" applyPatternFormats="1" applyAlignmentFormats="0" applyWidthHeightFormats="0"/>
</file>

<file path=xl/queryTables/queryTable1778.xml><?xml version="1.0" encoding="utf-8"?>
<queryTable xmlns="http://schemas.openxmlformats.org/spreadsheetml/2006/main" name="DD0130040_1388" connectionId="1335" autoFormatId="16" applyNumberFormats="0" applyBorderFormats="0" applyFontFormats="1" applyPatternFormats="1" applyAlignmentFormats="0" applyWidthHeightFormats="0"/>
</file>

<file path=xl/queryTables/queryTable1779.xml><?xml version="1.0" encoding="utf-8"?>
<queryTable xmlns="http://schemas.openxmlformats.org/spreadsheetml/2006/main" name="DD0130040_554" connectionId="316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DD0130040_558" connectionId="311" autoFormatId="16" applyNumberFormats="0" applyBorderFormats="0" applyFontFormats="1" applyPatternFormats="1" applyAlignmentFormats="0" applyWidthHeightFormats="0"/>
</file>

<file path=xl/queryTables/queryTable1780.xml><?xml version="1.0" encoding="utf-8"?>
<queryTable xmlns="http://schemas.openxmlformats.org/spreadsheetml/2006/main" name="DD0130040_465" connectionId="415" autoFormatId="16" applyNumberFormats="0" applyBorderFormats="0" applyFontFormats="1" applyPatternFormats="1" applyAlignmentFormats="0" applyWidthHeightFormats="0"/>
</file>

<file path=xl/queryTables/queryTable1781.xml><?xml version="1.0" encoding="utf-8"?>
<queryTable xmlns="http://schemas.openxmlformats.org/spreadsheetml/2006/main" name="DD0130040_471" connectionId="408" autoFormatId="16" applyNumberFormats="0" applyBorderFormats="0" applyFontFormats="1" applyPatternFormats="1" applyAlignmentFormats="0" applyWidthHeightFormats="0"/>
</file>

<file path=xl/queryTables/queryTable1782.xml><?xml version="1.0" encoding="utf-8"?>
<queryTable xmlns="http://schemas.openxmlformats.org/spreadsheetml/2006/main" name="DD0130040_528" connectionId="344" autoFormatId="16" applyNumberFormats="0" applyBorderFormats="0" applyFontFormats="1" applyPatternFormats="1" applyAlignmentFormats="0" applyWidthHeightFormats="0"/>
</file>

<file path=xl/queryTables/queryTable1783.xml><?xml version="1.0" encoding="utf-8"?>
<queryTable xmlns="http://schemas.openxmlformats.org/spreadsheetml/2006/main" name="DD0130040_1113" connectionId="1641" autoFormatId="16" applyNumberFormats="0" applyBorderFormats="0" applyFontFormats="1" applyPatternFormats="1" applyAlignmentFormats="0" applyWidthHeightFormats="0"/>
</file>

<file path=xl/queryTables/queryTable1784.xml><?xml version="1.0" encoding="utf-8"?>
<queryTable xmlns="http://schemas.openxmlformats.org/spreadsheetml/2006/main" name="DD0130040_1794" connectionId="1181" autoFormatId="16" applyNumberFormats="0" applyBorderFormats="0" applyFontFormats="1" applyPatternFormats="1" applyAlignmentFormats="0" applyWidthHeightFormats="0"/>
</file>

<file path=xl/queryTables/queryTable1785.xml><?xml version="1.0" encoding="utf-8"?>
<queryTable xmlns="http://schemas.openxmlformats.org/spreadsheetml/2006/main" name="DD0130040_988" connectionId="1798" autoFormatId="16" applyNumberFormats="0" applyBorderFormats="0" applyFontFormats="1" applyPatternFormats="1" applyAlignmentFormats="0" applyWidthHeightFormats="0"/>
</file>

<file path=xl/queryTables/queryTable1786.xml><?xml version="1.0" encoding="utf-8"?>
<queryTable xmlns="http://schemas.openxmlformats.org/spreadsheetml/2006/main" name="DD0130040_379" connectionId="510" autoFormatId="16" applyNumberFormats="0" applyBorderFormats="0" applyFontFormats="1" applyPatternFormats="1" applyAlignmentFormats="0" applyWidthHeightFormats="0"/>
</file>

<file path=xl/queryTables/queryTable1787.xml><?xml version="1.0" encoding="utf-8"?>
<queryTable xmlns="http://schemas.openxmlformats.org/spreadsheetml/2006/main" name="DD0130040_306" connectionId="592" autoFormatId="16" applyNumberFormats="0" applyBorderFormats="0" applyFontFormats="1" applyPatternFormats="1" applyAlignmentFormats="0" applyWidthHeightFormats="0"/>
</file>

<file path=xl/queryTables/queryTable1788.xml><?xml version="1.0" encoding="utf-8"?>
<queryTable xmlns="http://schemas.openxmlformats.org/spreadsheetml/2006/main" name="DD0130040_1285" connectionId="1450" autoFormatId="16" applyNumberFormats="0" applyBorderFormats="0" applyFontFormats="1" applyPatternFormats="1" applyAlignmentFormats="0" applyWidthHeightFormats="0"/>
</file>

<file path=xl/queryTables/queryTable1789.xml><?xml version="1.0" encoding="utf-8"?>
<queryTable xmlns="http://schemas.openxmlformats.org/spreadsheetml/2006/main" name="DD0130040_777" connectionId="1039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DD0130040_1558" connectionId="1146" autoFormatId="16" applyNumberFormats="0" applyBorderFormats="0" applyFontFormats="1" applyPatternFormats="1" applyAlignmentFormats="0" applyWidthHeightFormats="0"/>
</file>

<file path=xl/queryTables/queryTable1790.xml><?xml version="1.0" encoding="utf-8"?>
<queryTable xmlns="http://schemas.openxmlformats.org/spreadsheetml/2006/main" name="DD0130040_310" connectionId="587" autoFormatId="16" applyNumberFormats="0" applyBorderFormats="0" applyFontFormats="1" applyPatternFormats="1" applyAlignmentFormats="0" applyWidthHeightFormats="0"/>
</file>

<file path=xl/queryTables/queryTable1791.xml><?xml version="1.0" encoding="utf-8"?>
<queryTable xmlns="http://schemas.openxmlformats.org/spreadsheetml/2006/main" name="DD0130040_389" connectionId="499" autoFormatId="16" applyNumberFormats="0" applyBorderFormats="0" applyFontFormats="1" applyPatternFormats="1" applyAlignmentFormats="0" applyWidthHeightFormats="0"/>
</file>

<file path=xl/queryTables/queryTable1792.xml><?xml version="1.0" encoding="utf-8"?>
<queryTable xmlns="http://schemas.openxmlformats.org/spreadsheetml/2006/main" name="DD0130040_1524" connectionId="1185" autoFormatId="16" applyNumberFormats="0" applyBorderFormats="0" applyFontFormats="1" applyPatternFormats="1" applyAlignmentFormats="0" applyWidthHeightFormats="0"/>
</file>

<file path=xl/queryTables/queryTable1793.xml><?xml version="1.0" encoding="utf-8"?>
<queryTable xmlns="http://schemas.openxmlformats.org/spreadsheetml/2006/main" name="DD0130040_1730" connectionId="80" autoFormatId="16" applyNumberFormats="0" applyBorderFormats="0" applyFontFormats="1" applyPatternFormats="1" applyAlignmentFormats="0" applyWidthHeightFormats="0"/>
</file>

<file path=xl/queryTables/queryTable1794.xml><?xml version="1.0" encoding="utf-8"?>
<queryTable xmlns="http://schemas.openxmlformats.org/spreadsheetml/2006/main" name="DD0130040_836" connectionId="974" autoFormatId="16" applyNumberFormats="0" applyBorderFormats="0" applyFontFormats="1" applyPatternFormats="1" applyAlignmentFormats="0" applyWidthHeightFormats="0"/>
</file>

<file path=xl/queryTables/queryTable1795.xml><?xml version="1.0" encoding="utf-8"?>
<queryTable xmlns="http://schemas.openxmlformats.org/spreadsheetml/2006/main" name="DD0130040_2056" connectionId="844" autoFormatId="16" applyNumberFormats="0" applyBorderFormats="0" applyFontFormats="1" applyPatternFormats="1" applyAlignmentFormats="0" applyWidthHeightFormats="0"/>
</file>

<file path=xl/queryTables/queryTable1796.xml><?xml version="1.0" encoding="utf-8"?>
<queryTable xmlns="http://schemas.openxmlformats.org/spreadsheetml/2006/main" name="DD0130040_1381" connectionId="1343" autoFormatId="16" applyNumberFormats="0" applyBorderFormats="0" applyFontFormats="1" applyPatternFormats="1" applyAlignmentFormats="0" applyWidthHeightFormats="0"/>
</file>

<file path=xl/queryTables/queryTable1797.xml><?xml version="1.0" encoding="utf-8"?>
<queryTable xmlns="http://schemas.openxmlformats.org/spreadsheetml/2006/main" name="DD0130040_1638" connectionId="923" autoFormatId="16" applyNumberFormats="0" applyBorderFormats="0" applyFontFormats="1" applyPatternFormats="1" applyAlignmentFormats="0" applyWidthHeightFormats="0"/>
</file>

<file path=xl/queryTables/queryTable1798.xml><?xml version="1.0" encoding="utf-8"?>
<queryTable xmlns="http://schemas.openxmlformats.org/spreadsheetml/2006/main" name="DD0130040_1668" connectionId="768" autoFormatId="16" applyNumberFormats="0" applyBorderFormats="0" applyFontFormats="1" applyPatternFormats="1" applyAlignmentFormats="0" applyWidthHeightFormats="0"/>
</file>

<file path=xl/queryTables/queryTable1799.xml><?xml version="1.0" encoding="utf-8"?>
<queryTable xmlns="http://schemas.openxmlformats.org/spreadsheetml/2006/main" name="DD0130040_778" connectionId="103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DD0130040_428" connectionId="455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DD0130040_1513" connectionId="1197" autoFormatId="16" applyNumberFormats="0" applyBorderFormats="0" applyFontFormats="1" applyPatternFormats="1" applyAlignmentFormats="0" applyWidthHeightFormats="0"/>
</file>

<file path=xl/queryTables/queryTable1800.xml><?xml version="1.0" encoding="utf-8"?>
<queryTable xmlns="http://schemas.openxmlformats.org/spreadsheetml/2006/main" name="DD0130040_1062" connectionId="70" autoFormatId="16" applyNumberFormats="0" applyBorderFormats="0" applyFontFormats="1" applyPatternFormats="1" applyAlignmentFormats="0" applyWidthHeightFormats="0"/>
</file>

<file path=xl/queryTables/queryTable1801.xml><?xml version="1.0" encoding="utf-8"?>
<queryTable xmlns="http://schemas.openxmlformats.org/spreadsheetml/2006/main" name="DD0130040_1040" connectionId="45" autoFormatId="16" applyNumberFormats="0" applyBorderFormats="0" applyFontFormats="1" applyPatternFormats="1" applyAlignmentFormats="0" applyWidthHeightFormats="0"/>
</file>

<file path=xl/queryTables/queryTable1802.xml><?xml version="1.0" encoding="utf-8"?>
<queryTable xmlns="http://schemas.openxmlformats.org/spreadsheetml/2006/main" name="DD0130040_1380" connectionId="1344" autoFormatId="16" applyNumberFormats="0" applyBorderFormats="0" applyFontFormats="1" applyPatternFormats="1" applyAlignmentFormats="0" applyWidthHeightFormats="0"/>
</file>

<file path=xl/queryTables/queryTable1803.xml><?xml version="1.0" encoding="utf-8"?>
<queryTable xmlns="http://schemas.openxmlformats.org/spreadsheetml/2006/main" name="DD0130040_861" connectionId="946" autoFormatId="16" applyNumberFormats="0" applyBorderFormats="0" applyFontFormats="1" applyPatternFormats="1" applyAlignmentFormats="0" applyWidthHeightFormats="0"/>
</file>

<file path=xl/queryTables/queryTable1804.xml><?xml version="1.0" encoding="utf-8"?>
<queryTable xmlns="http://schemas.openxmlformats.org/spreadsheetml/2006/main" name="DD0130040_967" connectionId="1775" autoFormatId="16" applyNumberFormats="0" applyBorderFormats="0" applyFontFormats="1" applyPatternFormats="1" applyAlignmentFormats="0" applyWidthHeightFormats="0"/>
</file>

<file path=xl/queryTables/queryTable1805.xml><?xml version="1.0" encoding="utf-8"?>
<queryTable xmlns="http://schemas.openxmlformats.org/spreadsheetml/2006/main" name="DD0130040_628" connectionId="233" autoFormatId="16" applyNumberFormats="0" applyBorderFormats="0" applyFontFormats="1" applyPatternFormats="1" applyAlignmentFormats="0" applyWidthHeightFormats="0"/>
</file>

<file path=xl/queryTables/queryTable1806.xml><?xml version="1.0" encoding="utf-8"?>
<queryTable xmlns="http://schemas.openxmlformats.org/spreadsheetml/2006/main" name="DD0130040_1824" connectionId="345" autoFormatId="16" applyNumberFormats="0" applyBorderFormats="0" applyFontFormats="1" applyPatternFormats="1" applyAlignmentFormats="0" applyWidthHeightFormats="0"/>
</file>

<file path=xl/queryTables/queryTable1807.xml><?xml version="1.0" encoding="utf-8"?>
<queryTable xmlns="http://schemas.openxmlformats.org/spreadsheetml/2006/main" name="DD0130040_798" connectionId="1016" autoFormatId="16" applyNumberFormats="0" applyBorderFormats="0" applyFontFormats="1" applyPatternFormats="1" applyAlignmentFormats="0" applyWidthHeightFormats="0"/>
</file>

<file path=xl/queryTables/queryTable1808.xml><?xml version="1.0" encoding="utf-8"?>
<queryTable xmlns="http://schemas.openxmlformats.org/spreadsheetml/2006/main" name="DD0130040_2086" connectionId="877" autoFormatId="16" applyNumberFormats="0" applyBorderFormats="0" applyFontFormats="1" applyPatternFormats="1" applyAlignmentFormats="0" applyWidthHeightFormats="0"/>
</file>

<file path=xl/queryTables/queryTable1809.xml><?xml version="1.0" encoding="utf-8"?>
<queryTable xmlns="http://schemas.openxmlformats.org/spreadsheetml/2006/main" name="DD0130040_1193" connectionId="1552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DD0130040_560" connectionId="309" autoFormatId="16" applyNumberFormats="0" applyBorderFormats="0" applyFontFormats="1" applyPatternFormats="1" applyAlignmentFormats="0" applyWidthHeightFormats="0"/>
</file>

<file path=xl/queryTables/queryTable1810.xml><?xml version="1.0" encoding="utf-8"?>
<queryTable xmlns="http://schemas.openxmlformats.org/spreadsheetml/2006/main" name="DD0130040_1579" connectionId="1123" autoFormatId="16" applyNumberFormats="0" applyBorderFormats="0" applyFontFormats="1" applyPatternFormats="1" applyAlignmentFormats="0" applyWidthHeightFormats="0"/>
</file>

<file path=xl/queryTables/queryTable1811.xml><?xml version="1.0" encoding="utf-8"?>
<queryTable xmlns="http://schemas.openxmlformats.org/spreadsheetml/2006/main" name="DD0130040_385" connectionId="504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DD0130040_2066" connectionId="855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DD0130040_1681" connectionId="624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DD0130040_1968" connectionId="747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DD0130040_1259" connectionId="1478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DD0130040_1369" connectionId="1356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DD0130040_1748" connectionId="1691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DD0130040_1795" connectionId="1170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DD0130040_448" connectionId="433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DD0130040_989" connectionId="1799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DD0130040_1466" connectionId="1249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DD0130040_811" connectionId="1001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DD0130040_307" connectionId="590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DD0130040_421" connectionId="464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DD0130040_2019" connectionId="804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DD0130040_998" connectionId="1809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DD0130040_592" connectionId="274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DD0130040_1787" connectionId="1258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DD0130040_1886" connectionId="655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DD0130040_1690" connectionId="52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D0130040_1907" connectionId="679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DD0130040_398" connectionId="489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DD0130040_437" connectionId="445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DD0130040_906" connectionId="1707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DD0130040_1112" connectionId="1642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DD0130040_1114" connectionId="1640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DD0130040_1723" connectionId="158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DD0130040_442" connectionId="440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DD0130040_946" connectionId="1752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DD0130040_1432" connectionId="1287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DD0130040_1634" connectionId="1063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DD0130040_739" connectionId="11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DD0130040_695" connectionId="160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DD0130040_1619" connectionId="1079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DD0130040_1829" connectionId="1601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DD0130040_675" connectionId="182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DD0130040_1386" connectionId="1338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DD0130040_462" connectionId="418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DD0130040_1637" connectionId="924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DD0130040_1006" connectionId="7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DD0130040_667" connectionId="190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DD0130040_765" connectionId="1053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DD0130040_363" connectionId="52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DD0130040_534" connectionId="338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DD0130040_1693" connectionId="491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DD0130040_1375" connectionId="1350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DD0130040_1508" connectionId="1202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DD0130040_975" connectionId="1784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DD0130040_1168" connectionId="1579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DD0130040_429" connectionId="454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DD0130040_878" connectionId="927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DD0130040_1805" connectionId="1059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DD0130040_1564" connectionId="1140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DD0130040_604" connectionId="26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DD0130040_334" connectionId="560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DD0130040_1576" connectionId="1127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DD0130040_1990" connectionId="771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DD0130040_1317" connectionId="1415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DD0130040_500" connectionId="376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DD0130040_1173" connectionId="1574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DD0130040_1732" connectionId="58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DD0130040_1825" connectionId="234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DD0130040_1415" connectionId="1306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DD0130040_1256" connectionId="1482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DD0130040_1004" connectionId="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DD0130040_1729" connectionId="91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DD0130040_846" connectionId="963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DD0130040_823" connectionId="988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DD0130040_1082" connectionId="1675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DD0130040_728" connectionId="122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DD0130040_529" connectionId="343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DD0130040_793" connectionId="1021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DD0130040_1448" connectionId="1269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DD0130040_1053" connectionId="60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DD0130040_1902" connectionId="673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DD0130040_1098" connectionId="1657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DD0130040_608" connectionId="256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DD0130040_1911" connectionId="684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DD0130040_1596" connectionId="1105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DD0130040_785" connectionId="1030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DD0130040_809" connectionId="1004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DD0130040_1213" connectionId="1530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DD0130040_1744" connectionId="1736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DD0130040_1296" connectionId="1438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DD0130040_1087" connectionId="1670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DD0130040_1586" connectionId="1116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DD0130040_1588" connectionId="1113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DD0130040_900" connectionId="1700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DD0130040_1769" connectionId="1458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DD0130040_1117" connectionId="1637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DD0130040_1354" connectionId="1373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DD0130040_877" connectionId="928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DD0130040_403" connectionId="484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DD0130040_1817" connectionId="925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DD0130040_1048" connectionId="54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DD0130040_483" connectionId="395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DD0130040_1035" connectionId="40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DD0130040_1574" connectionId="112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DD0130040_467" connectionId="412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DD0130040_2027" connectionId="812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DD0130040_716" connectionId="137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DD0130040_578" connectionId="289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DD0130040_1409" connectionId="1312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DD0130040_1909" connectionId="682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DD0130040_1657" connectionId="890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DD0130040_380" connectionId="509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DD0130040_397" connectionId="490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DD0130040_855" connectionId="953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DD0130040_1835" connectionId="935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DD0130040_1410" connectionId="1311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DD0130040_1147" connectionId="1604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DD0130040_525" connectionId="349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DD0130040_1698" connectionId="435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DD0130040_1204" connectionId="1540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DD0130040_1910" connectionId="683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DD0130040_1783" connectionId="1303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DD0130040_853" connectionId="955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DD0130040_1606" connectionId="1094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DD0130040_382" connectionId="507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DD0130040_1734" connectionId="36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DD0130040_1355" connectionId="1372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DD0130040_2059" connectionId="848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DD0130040_1573" connectionId="1130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DD0130040_1332" connectionId="1398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DD0130040_727" connectionId="124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DD0130040_1069" connectionId="77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DD0130040_2096" connectionId="888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DD0130040_386" connectionId="503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DD0130040_932" connectionId="1737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DD0130040_313" connectionId="584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DD0130040_1046" connectionId="5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D0130040_507" connectionId="36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DD0130040_865" connectionId="942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DD0130040_1803" connectionId="1081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DD0130040_1130" connectionId="1622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DD0130040_1222" connectionId="1520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DD0130040_999" connectionId="1810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DD0130040_1916" connectionId="689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DD0130040_1351" connectionId="1376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DD0130040_1537" connectionId="1171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DD0130040_1367" connectionId="1359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DD0130040_1142" connectionId="1609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DD0130040_1639" connectionId="922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DD0130040_1915" connectionId="688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DD0130040_1827" connectionId="12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DD0130040_1308" connectionId="1424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DD0130040_1273" connectionId="1463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DD0130040_1953" connectionId="730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DD0130040_801" connectionId="1012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DD0130040_1468" connectionId="1246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DD0130040_1406" connectionId="1316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DD0130040_751" connectionId="97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DD0130040_1149" connectionId="1600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DD0130040_930" connectionId="1734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DD0130040_2054" connectionId="842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DD0130040_1110" connectionId="1644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DD0130040_1560" connectionId="1144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DD0130040_1623" connectionId="1075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DD0130040_2041" connectionId="828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DD0130040_1869" connectionId="637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DD0130040_1371" connectionId="1354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DD0130040_1399" connectionId="1323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DD0130040_983" connectionId="1793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DD0130040_725" connectionId="127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DD0130040_1091" connectionId="1665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DD0130040_1044" connectionId="50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DD0130040_2007" connectionId="790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DD0130040_1760" connectionId="1558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DD0130040_1789" connectionId="1236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DD0130040_453" connectionId="428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DD0130040_949" connectionId="1755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DD0130040_1095" connectionId="1661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DD0130040_1384" connectionId="1340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DD0130040_427" connectionId="457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DD0130040_1439" connectionId="1279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DD0130040_965" connectionId="1773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DD0130040_584" connectionId="283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DD0130040_1974" connectionId="753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DD0130040_456" connectionId="425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DD0130040_1708" connectionId="324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DD0130040_1437" connectionId="1282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DD0130040_2048" connectionId="836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DD0130040_338" connectionId="555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DD0130040_1608" connectionId="1091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DD0130040_1281" connectionId="1454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DD0130040_361" connectionId="530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DD0130040_1291" connectionId="1443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DD0130040_960" connectionId="1767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DD0130040_1945" connectionId="721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DD0130040_1200" connectionId="1544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DD0130040_820" connectionId="991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DD0130040_376" connectionId="514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DD0130040_1514" connectionId="1196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DD0130040_345" connectionId="548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DD0130040_506" connectionId="370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DD0130040_1284" connectionId="1451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DD0130040_772" connectionId="1044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DD0130040_622" connectionId="241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DD0130040_1559" connectionId="1145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DD0130040_882" connectionId="1681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DD0130040_1236" connectionId="1505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DD0130040_1003" connectionId="4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DD0130040_605" connectionId="260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DD0130040_794" connectionId="1020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DD0130040_888" connectionId="1687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DD0130040_1203" connectionId="1541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DD0130040_1664" connectionId="813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DD0130040_451" connectionId="430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DD0130040_962" connectionId="1770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DD0130040_368" connectionId="522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DD0130040_1791" connectionId="1214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DD0130040_1121" connectionId="1632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DD0130040_1646" connectionId="915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DD0130040_512" connectionId="363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DD0130040_1984" connectionId="764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DD0130040_1562" connectionId="1142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DD0130040_1000" connectionId="1811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DD0130040_1143" connectionId="1608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DD0130040_1939" connectionId="715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DD0130040_1940" connectionId="716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DD0130040_942" connectionId="1748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DD0130040_633" connectionId="228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DD0130040_1737" connectionId="2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DD0130040_1297" connectionId="1437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DD0130040_2076" connectionId="866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DD0130040_621" connectionId="242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DD0130040_405" connectionId="482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DD0130040_1092" connectionId="1664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DD0130040_980" connectionId="1789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DD0130040_714" connectionId="139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DD0130040_1208" connectionId="1535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DD0130040_426" connectionId="459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DD0130040_1436" connectionId="1283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DD0130040_1717" connectionId="224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DD0130040_434" connectionId="449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DD0130040_656" connectionId="203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DD0130040_1313" connectionId="1419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DD0130040_301" connectionId="597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DD0130040_1220" connectionId="1522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DD0130040_1136" connectionId="1616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DD0130040_1480" connectionId="1233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DD0130040_1611" connectionId="1088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D0130040_1224" connectionId="1518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DD0130040_833" connectionId="977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DD0130040_1157" connectionId="1592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DD0130040_377" connectionId="512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DD0130040_1746" connectionId="1714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DD0130040_806" connectionId="1007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DD0130040_1496" connectionId="1216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DD0130040_844" connectionId="965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DD0130040_1171" connectionId="1576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DD0130040_1063" connectionId="71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DD0130040_1926" connectionId="700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DD0130040_2099" connectionId="892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DD0130040_2105" connectionId="898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DD0130040_1049" connectionId="55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DD0130040_1250" connectionId="1488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DD0130040_858" connectionId="950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DD0130040_406" connectionId="481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DD0130040_1070" connectionId="78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DD0130040_1059" connectionId="66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DD0130040_1158" connectionId="1590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DD0130040_1223" connectionId="1519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DD0130040_891" connectionId="1690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DD0130040_496" connectionId="381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DD0130040_700" connectionId="154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DD0130040_1963" connectionId="741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DD0130040_1374" connectionId="1351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name="DD0130040_665" connectionId="193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name="DD0130040_655" connectionId="204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name="DD0130040_548" connectionId="322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name="DD0130040_1877" connectionId="645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name="DD0130040_492" connectionId="385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name="DD0130040_472" connectionId="407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name="DD0130040_1425" connectionId="1295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name="DD0130040_1431" connectionId="1288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DD0130040_1969" connectionId="748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name="DD0130040_2075" connectionId="865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name="DD0130040_1071" connectionId="79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name="DD0130040_958" connectionId="1765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name="DD0130040_1753" connectionId="1636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name="DD0130040_1643" connectionId="918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name="DD0130040_1505" connectionId="1206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name="DD0130040_1948" connectionId="725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name="DD0130040_1096" connectionId="1660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name="DD0130040_1630" connectionId="1067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name="DD0130040_1333" connectionId="1397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DD0130040_758" connectionId="1061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name="DD0130040_1530" connectionId="1178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name="DD0130040_950" connectionId="1756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name="DD0130040_1445" connectionId="1273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name="DD0130040_1401" connectionId="1321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name="DD0130040_480" connectionId="398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name="DD0130040_1841" connectionId="606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name="DD0130040_455" connectionId="426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name="DD0130040_603" connectionId="262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name="DD0130040_1884" connectionId="653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name="DD0130040_1577" connectionId="1126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DD0130040_337" connectionId="556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name="DD0130040_1498" connectionId="1213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name="DD0130040_822" connectionId="989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name="DD0130040_991" connectionId="1801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name="DD0130040_2089" connectionId="881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name="DD0130040_1446" connectionId="1272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name="DD0130040_697" connectionId="157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name="DD0130040_1012" connectionId="15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name="DD0130040_1837" connectionId="904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name="DD0130040_1743" connectionId="1747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name="DD0130040_2029" connectionId="815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DD0130040_1983" connectionId="763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name="DD0130040_766" connectionId="1052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name="DD0130040_1836" connectionId="903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name="DD0130040_2057" connectionId="845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name="DD0130040_1277" connectionId="1459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name="DD0130040_738" connectionId="111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name="DD0130040_1365" connectionId="1361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name="DD0130040_1459" connectionId="1256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name="DD0130040_1352" connectionId="1375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name="DD0130040_671" connectionId="186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name="DD0130040_1191" connectionId="1554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DD0130040_2084" connectionId="875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name="DD0130040_1867" connectionId="634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name="DD0130040_1922" connectionId="696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name="DD0130040_594" connectionId="272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name="DD0130040_852" connectionId="956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name="DD0130040_1931" connectionId="706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name="DD0130040_1249" connectionId="1489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name="DD0130040_1302" connectionId="1431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name="DD0130040_829" connectionId="982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name="DD0130040_1217" connectionId="1526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name="DD0130040_636" connectionId="225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DD0130040_990" connectionId="1800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name="DD0130040_1735" connectionId="25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name="DD0130040_1104" connectionId="1651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name="DD0130040_1858" connectionId="625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name="DD0130040_1705" connectionId="358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name="DD0130040_1083" connectionId="1674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name="DD0130040_1838" connectionId="603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name="DD0130040_661" connectionId="197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name="DD0130040_581" connectionId="286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name="DD0130040_1138" connectionId="1613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name="DD0130040_1502" connectionId="1209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DD0130040_1964" connectionId="742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name="DD0130040_1635" connectionId="1062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name="DD0130040_551" connectionId="319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name="DD0130040_1873" connectionId="641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name="DD0130040_1477" connectionId="1237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name="DD0130040_1073" connectionId="82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name="DD0130040_1108" connectionId="1646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name="DD0130040_1359" connectionId="1367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name="DD0130040_690" connectionId="165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name="DD0130040_1370" connectionId="1355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name="DD0130040_1865" connectionId="63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D0130040_2045" connectionId="832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DD0130040_1474" connectionId="1240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name="DD0130040_609" connectionId="255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name="DD0130040_1011" connectionId="13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name="DD0130040_1453" connectionId="1263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name="DD0130040_2038" connectionId="825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name="DD0130040_1389" connectionId="1334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name="DD0130040_1300" connectionId="1433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name="DD0130040_344" connectionId="549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name="DD0130040_2068" connectionId="858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name="DD0130040_1457" connectionId="1259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name="DD0130040_644" connectionId="216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DD0130040_1067" connectionId="75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name="DD0130040_1089" connectionId="1667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name="DD0130040_574" connectionId="294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name="DD0130040_1920" connectionId="694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name="DD0130040_1595" connectionId="1106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name="DD0130040_469" connectionId="410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name="DD0130040_1299" connectionId="1434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name="DD0130040_748" connectionId="100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name="DD0130040_1093" connectionId="1663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name="DD0130040_1141" connectionId="1610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name="DD0130040_1029" connectionId="33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DD0130040_1648" connectionId="912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name="DD0130040_1471" connectionId="1243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name="DD0130040_1342" connectionId="1387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name="DD0130040_937" connectionId="1742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name="DD0130040_1074" connectionId="83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name="DD0130040_1610" connectionId="1089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name="DD0130040_1499" connectionId="1212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name="DD0130040_1312" connectionId="1420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name="DD0130040_1593" connectionId="1108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name="DD0130040_1201" connectionId="1543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name="DD0130040_856" connectionId="952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DD0130040_1013" connectionId="16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name="DD0130040_1552" connectionId="1153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name="DD0130040_2016" connectionId="800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name="DD0130040_329" connectionId="565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name="DD0130040_1625" connectionId="1073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name="DD0130040_921" connectionId="1724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name="DD0130040_446" connectionId="436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name="DD0130040_318" connectionId="578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name="DD0130040_1340" connectionId="1389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name="DD0130040_1516" connectionId="1194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name="DD0130040_1116" connectionId="1638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DD0130040_1131" connectionId="1621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name="DD0130040_1172" connectionId="1575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name="DD0130040_866" connectionId="941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name="DD0130040_575" connectionId="293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name="DD0130040_668" connectionId="189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name="DD0130040_1987" connectionId="767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name="DD0130040_2064" connectionId="853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name="DD0130040_1348" connectionId="1380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name="DD0130040_1875" connectionId="643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name="DD0130040_1567" connectionId="1137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name="DD0130040_632" connectionId="229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DD0130040_1923" connectionId="697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name="DD0130040_1390" connectionId="1333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name="DD0130040_620" connectionId="243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name="DD0130040_1239" connectionId="1501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name="DD0130040_1774" connectionId="1403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name="DD0130040_1077" connectionId="86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name="DD0130040_1715" connectionId="247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name="DD0130040_365" connectionId="526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name="DD0130040_1177" connectionId="1570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name="DD0130040_1479" connectionId="1234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name="DD0130040_1144" connectionId="1607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DD0130040_1156" connectionId="1593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name="DD0130040_1030" connectionId="34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name="DD0130040_1473" connectionId="1241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name="DD0130040_2079" connectionId="870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name="DD0130040_708" connectionId="145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name="DD0130040_677" connectionId="179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name="DD0130040_1105" connectionId="1650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name="DD0130040_1802" connectionId="1092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name="DD0130040_742" connectionId="107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name="DD0130040_1008" connectionId="9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name="DD0130040_1547" connectionId="1160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DD0130040_911" connectionId="1713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name="DD0130040_762" connectionId="1056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name="DD0130040_647" connectionId="212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name="DD0130040_2000" connectionId="782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name="DD0130040_1928" connectionId="703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name="DD0130040_1305" connectionId="1428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name="DD0130040_1434" connectionId="1285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name="DD0130040_1701" connectionId="402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name="DD0130040_842" connectionId="967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name="DD0130040_1461" connectionId="1254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name="DD0130040_696" connectionId="159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DD0130040_498" connectionId="378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name="DD0130040_623" connectionId="240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name="DD0130040_540" connectionId="331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name="DD0130040_1695" connectionId="469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name="DD0130040_669" connectionId="188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name="DD0130040_2006" connectionId="788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name="DD0130040_1518" connectionId="1191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name="DD0130040_1663" connectionId="824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name="DD0130040_747" connectionId="101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name="DD0130040_1489" connectionId="1223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name="DD0130040_1797" connectionId="1147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DD0130040_1276" connectionId="1460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name="DD0130040_2012" connectionId="796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name="DD0130040_1804" connectionId="1070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name="DD0130040_402" connectionId="485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name="DD0130040_1766" connectionId="1492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name="DD0130040_1134" connectionId="1618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name="DD0130040_887" connectionId="1686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name="DD0130040_1219" connectionId="1523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name="DD0130040_2018" connectionId="803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name="DD0130040_732" connectionId="118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name="DD0130040_1542" connectionId="116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D0130040_759" connectionId="1060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DD0130040_1706" connectionId="347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name="DD0130040_597" connectionId="268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name="DD0130040_547" connectionId="323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name="DD0130040_297" connectionId="601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name="DD0130040_320" connectionId="576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name="DD0130040_1569" connectionId="1134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name="DD0130040_1696" connectionId="458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name="DD0130040_443" connectionId="439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name="DD0130040_673" connectionId="184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name="DD0130040_1682" connectionId="613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name="DD0130040_1060" connectionId="67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DD0130040_1921" connectionId="695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name="DD0130040_724" connectionId="128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name="DD0130040_1655" connectionId="905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name="DD0130040_522" connectionId="352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name="DD0130040_422" connectionId="463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name="DD0130040_1304" connectionId="1429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name="DD0130040_1684" connectionId="591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name="DD0130040_734" connectionId="116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name="DD0130040_1898" connectionId="669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name="DD0130040_1868" connectionId="636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name="DD0130040_1544" connectionId="116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DD0130040_1888" connectionId="658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name="DD0130040_1642" connectionId="919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name="DD0130040_1522" connectionId="1187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name="DD0130040_873" connectionId="932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name="DD0130040_1100" connectionId="1655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name="DD0130040_324" connectionId="572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name="DD0130040_1014" connectionId="17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name="DD0130040_1929" connectionId="704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name="DD0130040_1068" connectionId="76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name="DD0130040_349" connectionId="543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name="DD0130040_676" connectionId="181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DD0130040_1183" connectionId="1563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name="DD0130040_1951" connectionId="728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name="DD0130040_943" connectionId="1749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name="DD0130040_2023" connectionId="808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name="DD0130040_600" connectionId="265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name="DD0130040_1622" connectionId="1076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name="DD0130040_2092" connectionId="884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name="DD0130040_2025" connectionId="810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name="DD0130040_2040" connectionId="827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name="DD0130040_1179" connectionId="1567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name="DD0130040_1617" connectionId="1082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DD0130040_1152" connectionId="1597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name="DD0130040_1676" connectionId="680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name="DD0130040_951" connectionId="1757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name="DD0130040_1683" connectionId="602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name="DD0130040_1041" connectionId="46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name="DD0130040_1752" connectionId="1647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name="DD0130040_1470" connectionId="1244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name="DD0130040_392" connectionId="496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name="DD0130040_1826" connectionId="123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name="DD0130040_680" connectionId="176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name="DD0130040_499" connectionId="377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DD0130040_1154" connectionId="1595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name="DD0130040_686" connectionId="170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name="DD0130040_1321" connectionId="1410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name="DD0130040_1750" connectionId="1669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name="DD0130040_1078" connectionId="87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name="DD0130040_485" connectionId="393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name="DD0130040_2005" connectionId="787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name="DD0130040_1397" connectionId="1326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name="DD0130040_1234" connectionId="1507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name="DD0130040_1290" connectionId="1444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name="DD0130040_1620" connectionId="1078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DD0130040_1772" connectionId="1425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name="DD0130040_1799" connectionId="1125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name="DD0130040_1430" connectionId="1289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name="DD0130040_1278" connectionId="1457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name="DD0130040_1408" connectionId="1313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name="DD0130040_474" connectionId="405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name="DD0130040_953" connectionId="1760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name="DD0130040_663" connectionId="195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name="DD0130040_1036" connectionId="41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name="DD0130040_2021" connectionId="806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name="DD0130040_1731" connectionId="69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DD0130040_924" connectionId="1728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name="DD0130040_848" connectionId="961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name="DD0130040_1510" connectionId="1200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name="DD0130040_2094" connectionId="886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name="DD0130040_685" connectionId="171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name="DD0130040_1017" connectionId="20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name="DD0130040_2061" connectionId="850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name="DD0130040_1519" connectionId="1190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name="DD0130040_1190" connectionId="1555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name="DD0130040_1872" connectionId="640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name="DD0130040_520" connectionId="354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DD0130040_598" connectionId="267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name="DD0130040_1533" connectionId="1175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name="DD0130040_1135" connectionId="1617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name="DD0130040_1422" connectionId="1298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name="DD0130040_330" connectionId="564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name="DD0130040_1765" connectionId="1503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name="DD0130040_1268" connectionId="1468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name="DD0130040_2071" connectionId="861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name="DD0130040_1823" connectionId="456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name="DD0130040_348" connectionId="544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name="DD0130040_579" connectionId="288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DD0130040_625" connectionId="238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name="DD0130040_1504" connectionId="1207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name="DD0130040_1115" connectionId="1639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name="DD0130040_918" connectionId="1721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name="DD0130040_327" connectionId="568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name="DD0130040_828" connectionId="983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name="DD0130040_776" connectionId="1040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name="DD0130040_1534" connectionId="1174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name="DD0130040_300" connectionId="598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name="DD0130040_1844" connectionId="609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name="DD0130040_933" connectionId="173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D0130040_1511" connectionId="1199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DD0130040_831" connectionId="979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name="DD0130040_590" connectionId="276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name="DD0130040_1022" connectionId="26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name="DD0130040_786" connectionId="1029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name="DD0130040_860" connectionId="947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name="DD0130040_478" connectionId="400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name="DD0130040_1337" connectionId="1393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name="DD0130040_726" connectionId="126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name="DD0130040_648" connectionId="211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name="DD0130040_1356" connectionId="1371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name="DD0130040_536" connectionId="336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DD0130040_640" connectionId="220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name="DD0130040_1864" connectionId="631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name="DD0130040_2107" connectionId="900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name="DD0130040_1314" connectionId="1418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name="DD0130040_1124" connectionId="1629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name="DD0130040_1738" connectionId="1802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name="DD0130040_1935" connectionId="710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name="DD0130040_1493" connectionId="1219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name="DD0130040_1325" connectionId="1406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name="DD0130040_1198" connectionId="1546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name="DD0130040_546" connectionId="325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DD0130040_384" connectionId="505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name="DD0130040_416" connectionId="470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name="DD0130040_774" connectionId="1042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name="DD0130040_763" connectionId="1055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name="DD0130040_1597" connectionId="1104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name="DD0130040_1274" connectionId="1462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name="DD0130040_2050" connectionId="838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name="DD0130040_2055" connectionId="843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name="DD0130040_1976" connectionId="755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name="DD0130040_461" connectionId="419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name="DD0130040_410" connectionId="476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DD0130040_2043" connectionId="830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name="DD0130040_1318" connectionId="1413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name="DD0130040_896" connectionId="1696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name="DD0130040_1210" connectionId="1533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name="DD0130040_1182" connectionId="1564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name="DD0130040_808" connectionId="1005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name="DD0130040_615" connectionId="249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name="DD0130040_1541" connectionId="1166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name="DD0130040_2001" connectionId="783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name="DD0130040_1336" connectionId="1394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name="DD0130040_1585" connectionId="1117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DD0130040_1582" connectionId="1120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name="DD0130040_1009" connectionId="10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name="DD0130040_549" connectionId="321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name="DD0130040_971" connectionId="1779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name="DD0130040_589" connectionId="277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name="DD0130040_1647" connectionId="913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name="DD0130040_1404" connectionId="1318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name="DD0130040_1674" connectionId="702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name="DD0130040_1279" connectionId="1456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name="DD0130040_352" connectionId="540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name="DD0130040_2088" connectionId="880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DD0130040_1378" connectionId="1346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name="DD0130040_717" connectionId="135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name="DD0130040_719" connectionId="133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name="DD0130040_585" connectionId="282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name="DD0130040_1860" connectionId="627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name="DD0130040_885" connectionId="1684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name="DD0130040_1349" connectionId="1378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name="DD0130040_2009" connectionId="793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name="DD0130040_1246" connectionId="1494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name="DD0130040_731" connectionId="119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name="DD0130040_1709" connectionId="313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DD0130040_617" connectionId="246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name="DD0130040_1854" connectionId="620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name="DD0130040_662" connectionId="196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name="DD0130040_699" connectionId="155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name="DD0130040_1871" connectionId="639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name="DD0130040_1393" connectionId="1330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name="DD0130040_381" connectionId="508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name="DD0130040_722" connectionId="130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name="DD0130040_374" connectionId="516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name="DD0130040_1047" connectionId="53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name="DD0130040_1429" connectionId="1290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DD0130040_1897" connectionId="667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name="DD0130040_2077" connectionId="867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name="DD0130040_550" connectionId="320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name="DD0130040_1903" connectionId="674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name="DD0130040_859" connectionId="949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name="DD0130040_1857" connectionId="623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name="DD0130040_797" connectionId="1017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name="DD0130040_867" connectionId="940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name="DD0130040_1418" connectionId="1302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name="DD0130040_1391" connectionId="1332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name="DD0130040_1057" connectionId="6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DD0130040_718" connectionId="134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name="DD0130040_1661" connectionId="846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name="DD0130040_1819" connectionId="902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name="DD0130040_1248" connectionId="1491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name="DD0130040_571" connectionId="297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name="DD0130040_1561" connectionId="1143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name="DD0130040_364" connectionId="527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name="DD0130040_936" connectionId="1741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name="DD0130040_360" connectionId="531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name="DD0130040_516" connectionId="359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name="DD0130040_2058" connectionId="847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DD0130040_1196" connectionId="1549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name="DD0130040_1241" connectionId="1499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name="DD0130040_1652" connectionId="908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name="DD0130040_955" connectionId="1762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name="DD0130040_775" connectionId="1041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name="DD0130040_740" connectionId="109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name="DD0130040_1645" connectionId="916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name="DD0130040_886" connectionId="1685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name="DD0130040_1455" connectionId="1261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name="DD0130040_1227" connectionId="1515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name="DD0130040_1528" connectionId="118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D0130040_1458" connectionId="1257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DD0130040_1435" connectionId="1284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name="DD0130040_1930" connectionId="705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name="DD0130040_1368" connectionId="1357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name="DD0130040_810" connectionId="1002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name="DD0130040_515" connectionId="360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name="DD0130040_2033" connectionId="819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name="DD0130040_659" connectionId="199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name="DD0130040_964" connectionId="1772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name="DD0130040_650" connectionId="209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name="DD0130040_1580" connectionId="1122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name="DD0130040_2035" connectionId="821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DD0130040_1456" connectionId="1260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name="DD0130040_1417" connectionId="1304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name="DD0130040_1982" connectionId="762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name="DD0130040_973" connectionId="1782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name="DD0130040_340" connectionId="553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name="DD0130040_735" connectionId="115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name="DD0130040_1247" connectionId="1493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name="DD0130040_353" connectionId="539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name="DD0130040_1295" connectionId="1439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name="DD0130040_1973" connectionId="752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name="DD0130040_771" connectionId="1045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DD0130040_1952" connectionId="729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name="DD0130040_915" connectionId="1718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name="DD0130040_513" connectionId="362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name="DD0130040_2063" connectionId="852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name="DD0130040_391" connectionId="497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name="DD0130040_2069" connectionId="859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name="DD0130040_1043" connectionId="49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name="DD0130040_835" connectionId="975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name="DD0130040_1469" connectionId="1245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name="DD0130040_940" connectionId="1745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name="DD0130040_1015" connectionId="18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DD0130040_1758" connectionId="1580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name="DD0130040_917" connectionId="1720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name="DD0130040_1037" connectionId="42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name="DD0130040_510" connectionId="365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name="DD0130040_689" connectionId="166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name="DD0130040_1288" connectionId="1446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name="DD0130040_1556" connectionId="1149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name="DD0130040_440" connectionId="442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name="DD0130040_920" connectionId="1723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name="DD0130040_907" connectionId="1708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name="DD0130040_1710" connectionId="302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DD0130040_1991" connectionId="772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name="DD0130040_1269" connectionId="1467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name="DD0130040_893" connectionId="1693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name="DD0130040_977" connectionId="1786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name="DD0130040_1570" connectionId="1133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name="DD0130040_1150" connectionId="1599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name="DD0130040_1626" connectionId="1072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name="DD0130040_862" connectionId="945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name="DD0130040_992" connectionId="1803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name="DD0130040_985" connectionId="1795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name="DD0130040_1876" connectionId="644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DD0130040_1326" connectionId="1405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name="DD0130040_1328" connectionId="1402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name="DD0130040_1881" connectionId="650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name="DD0130040_1364" connectionId="1362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name="DD0130040_1816" connectionId="937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name="DD0130040_1132" connectionId="1620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name="DD0130040_1487" connectionId="1226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name="DD0130040_2036" connectionId="822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name="DD0130040_1830" connectionId="1490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name="DD0130040_1624" connectionId="1074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name="DD0130040_553" connectionId="317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DD0130040_1072" connectionId="81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name="DD0130040_1726" connectionId="125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name="DD0130040_407" connectionId="479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name="DD0130040_1985" connectionId="765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name="DD0130040_1254" connectionId="1484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name="DD0130040_567" connectionId="301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name="DD0130040_1343" connectionId="1386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name="DD0130040_1879" connectionId="648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name="DD0130040_2091" connectionId="883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name="DD0130040_1329" connectionId="1401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name="DD0130040_388" connectionId="500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DD0130040_1832" connectionId="1268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name="DD0130040_1019" connectionId="22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name="DD0130040_826" connectionId="985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name="DD0130040_321" connectionId="575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name="DD0130040_802" connectionId="1011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name="DD0130040_925" connectionId="1729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name="DD0130040_1847" connectionId="612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name="DD0130040_490" connectionId="387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name="DD0130040_1616" connectionId="1083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name="DD0130040_1862" connectionId="629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name="DD0130040_1129" connectionId="1623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DD0130040_2098" connectionId="891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name="DD0130040_393" connectionId="495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name="DD0130040_635" connectionId="226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name="DD0130040_1289" connectionId="1445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name="DD0130040_814" connectionId="998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name="DD0130040_2083" connectionId="874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name="DD0130040_1527" connectionId="1182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name="DD0130040_770" connectionId="1047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name="DD0130040_1272" connectionId="1464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name="DD0130040_1712" connectionId="280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name="DD0130040_1440" connectionId="1278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DD0130040_1267" connectionId="1470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name="DD0130040_537" connectionId="334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name="DD0130040_1228" connectionId="1513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name="DD0130040_1962" connectionId="740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name="DD0130040_1725" connectionId="136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name="DD0130040_1692" connectionId="502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name="DD0130040_1653" connectionId="907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name="DD0130040_1685" connectionId="580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name="DD0130040_1292" connectionId="1442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name="DD0130040_487" connectionId="390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name="DD0130040_1362" connectionId="136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D0130040_1075" connectionId="84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DD0130040_670" connectionId="187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name="DD0130040_1719" connectionId="202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name="DD0130040_2049" connectionId="837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name="DD0130040_1555" connectionId="1150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name="DD0130040_683" connectionId="173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name="DD0130040_447" connectionId="434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name="DD0130040_1416" connectionId="1305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name="DD0130040_1851" connectionId="617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name="DD0130040_1578" connectionId="1124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name="DD0130040_466" connectionId="414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name="DD0130040_524" connectionId="350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DD0130040_602" connectionId="263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name="DD0130040_913" connectionId="1716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name="DD0130040_493" connectionId="384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name="DD0130040_577" connectionId="290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name="DD0130040_1240" connectionId="1500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name="DD0130040_1090" connectionId="1666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name="DD0130040_909" connectionId="1710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name="DD0130040_1515" connectionId="1195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name="DD0130040_588" connectionId="278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name="DD0130040_1885" connectionId="654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name="DD0130040_1908" connectionId="681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DD0130040_1629" connectionId="1068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name="DD0130040_1018" connectionId="21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name="DD0130040_1148" connectionId="1602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name="DD0130040_417" connectionId="468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name="DD0130040_1463" connectionId="1252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name="DD0130040_1263" connectionId="1474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name="DD0130040_863" connectionId="944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name="DD0130040_1965" connectionId="743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name="DD0130040_1587" connectionId="1115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name="DD0130040_1282" connectionId="1453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name="DD0130040_475" connectionId="404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DD0130040_450" connectionId="431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name="DD0130040_1615" connectionId="1084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name="DD0130040_1950" connectionId="727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name="DD0130040_712" connectionId="141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name="DD0130040_1520" connectionId="1189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name="DD0130040_390" connectionId="498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name="DD0130040_359" connectionId="532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name="DD0130040_303" connectionId="595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name="DD0130040_1961" connectionId="739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name="DD0130040_1197" connectionId="1548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name="DD0130040_1654" connectionId="906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DD0130040_645" connectionId="215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name="DD0130040_2015" connectionId="799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name="DD0130040_812" connectionId="1000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name="DD0130040_1609" connectionId="1090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name="DD0130040_1850" connectionId="616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name="DD0130040_723" connectionId="129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name="DD0130040_1188" connectionId="1557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name="DD0130040_618" connectionId="245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name="DD0130040_1366" connectionId="1360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name="DD0130040_634" connectionId="227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name="DD0130040_1644" connectionId="917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DD0130040_721" connectionId="131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name="DD0130040_1257" connectionId="1481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name="DD0130040_1678" connectionId="657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name="DD0130040_1350" connectionId="1377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name="DD0130040_1905" connectionId="676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name="DD0130040_956" connectionId="1763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name="DD0130040_1614" connectionId="1085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name="DD0130040_370" connectionId="520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name="DD0130040_2026" connectionId="811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name="DD0130040_2082" connectionId="873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name="DD0130040_1187" connectionId="1559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DD0130040_1568" connectionId="1135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name="DD0130040_1238" connectionId="1502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name="DD0130040_1538" connectionId="1169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name="DD0130040_922" connectionId="1726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name="DD0130040_874" connectionId="931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name="DD0130040_1739" connectionId="1791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name="DD0130040_1266" connectionId="1471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name="DD0130040_561" connectionId="308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name="DD0130040_875" connectionId="930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name="DD0130040_2062" connectionId="851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name="DD0130040_1024" connectionId="28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DD0130040_375" connectionId="515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name="DD0130040_611" connectionId="253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name="DD0130040_926" connectionId="1730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name="DD0130040_791" connectionId="1023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name="DD0130040_1981" connectionId="761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name="DD0130040_1892" connectionId="662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name="DD0130040_1163" connectionId="1585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name="DD0130040_1659" connectionId="868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name="DD0130040_1438" connectionId="1280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name="DD0130040_1677" connectionId="668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name="DD0130040_517" connectionId="357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DD0130040_715" connectionId="138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name="DD0130040_1775" connectionId="1392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name="DD0130040_312" connectionId="585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name="DD0130040_1414" connectionId="1307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name="DD0130040_1215" connectionId="1528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name="DD0130040_419" connectionId="466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name="DD0130040_568" connectionId="300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name="DD0130040_1255" connectionId="1483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name="DD0130040_1212" connectionId="1531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name="DD0130040_1720" connectionId="191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name="DD0130040_1613" connectionId="1086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DD0130040_1917" connectionId="690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name="DD0130040_355" connectionId="537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name="DD0130040_596" connectionId="270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name="DD0130040_1394" connectionId="1329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name="DD0130040_343" connectionId="550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name="DD0130040_1904" connectionId="675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name="DD0130040_1687" connectionId="557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name="DD0130040_1106" connectionId="1649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name="DD0130040_1398" connectionId="1324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name="DD0130040_639" connectionId="221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name="DD0130040_489" connectionId="38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38.xml.rels><?xml version="1.0" encoding="UTF-8" standalone="yes"?>
<Relationships xmlns="http://schemas.openxmlformats.org/package/2006/relationships"><Relationship Id="rId1522" Type="http://schemas.openxmlformats.org/officeDocument/2006/relationships/queryTable" Target="../queryTables/queryTable1521.xml"/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1172" Type="http://schemas.openxmlformats.org/officeDocument/2006/relationships/queryTable" Target="../queryTables/queryTable1171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1477" Type="http://schemas.openxmlformats.org/officeDocument/2006/relationships/queryTable" Target="../queryTables/queryTable1476.xml"/><Relationship Id="rId1684" Type="http://schemas.openxmlformats.org/officeDocument/2006/relationships/queryTable" Target="../queryTables/queryTable1683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1337" Type="http://schemas.openxmlformats.org/officeDocument/2006/relationships/queryTable" Target="../queryTables/queryTable1336.xml"/><Relationship Id="rId1544" Type="http://schemas.openxmlformats.org/officeDocument/2006/relationships/queryTable" Target="../queryTables/queryTable1543.xml"/><Relationship Id="rId1751" Type="http://schemas.openxmlformats.org/officeDocument/2006/relationships/queryTable" Target="../queryTables/queryTable1750.xml"/><Relationship Id="rId43" Type="http://schemas.openxmlformats.org/officeDocument/2006/relationships/queryTable" Target="../queryTables/queryTable42.xml"/><Relationship Id="rId1404" Type="http://schemas.openxmlformats.org/officeDocument/2006/relationships/queryTable" Target="../queryTables/queryTable1403.xml"/><Relationship Id="rId1611" Type="http://schemas.openxmlformats.org/officeDocument/2006/relationships/queryTable" Target="../queryTables/queryTable1610.xml"/><Relationship Id="rId192" Type="http://schemas.openxmlformats.org/officeDocument/2006/relationships/queryTable" Target="../queryTables/queryTable191.xml"/><Relationship Id="rId1709" Type="http://schemas.openxmlformats.org/officeDocument/2006/relationships/queryTable" Target="../queryTables/queryTable1708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1194" Type="http://schemas.openxmlformats.org/officeDocument/2006/relationships/queryTable" Target="../queryTables/queryTable1193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1499" Type="http://schemas.openxmlformats.org/officeDocument/2006/relationships/queryTable" Target="../queryTables/queryTable149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1261" Type="http://schemas.openxmlformats.org/officeDocument/2006/relationships/queryTable" Target="../queryTables/queryTable1260.xml"/><Relationship Id="rId1359" Type="http://schemas.openxmlformats.org/officeDocument/2006/relationships/queryTable" Target="../queryTables/queryTable1358.xml"/><Relationship Id="rId936" Type="http://schemas.openxmlformats.org/officeDocument/2006/relationships/queryTable" Target="../queryTables/queryTable935.xml"/><Relationship Id="rId1121" Type="http://schemas.openxmlformats.org/officeDocument/2006/relationships/queryTable" Target="../queryTables/queryTable1120.xml"/><Relationship Id="rId1219" Type="http://schemas.openxmlformats.org/officeDocument/2006/relationships/queryTable" Target="../queryTables/queryTable1218.xml"/><Relationship Id="rId1566" Type="http://schemas.openxmlformats.org/officeDocument/2006/relationships/queryTable" Target="../queryTables/queryTable1565.xml"/><Relationship Id="rId1773" Type="http://schemas.openxmlformats.org/officeDocument/2006/relationships/queryTable" Target="../queryTables/queryTable1772.xml"/><Relationship Id="rId65" Type="http://schemas.openxmlformats.org/officeDocument/2006/relationships/queryTable" Target="../queryTables/queryTable64.xml"/><Relationship Id="rId1426" Type="http://schemas.openxmlformats.org/officeDocument/2006/relationships/queryTable" Target="../queryTables/queryTable1425.xml"/><Relationship Id="rId1633" Type="http://schemas.openxmlformats.org/officeDocument/2006/relationships/queryTable" Target="../queryTables/queryTable1632.xml"/><Relationship Id="rId1700" Type="http://schemas.openxmlformats.org/officeDocument/2006/relationships/queryTable" Target="../queryTables/queryTable1699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1283" Type="http://schemas.openxmlformats.org/officeDocument/2006/relationships/queryTable" Target="../queryTables/queryTable1282.xml"/><Relationship Id="rId1490" Type="http://schemas.openxmlformats.org/officeDocument/2006/relationships/queryTable" Target="../queryTables/queryTable1489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1143" Type="http://schemas.openxmlformats.org/officeDocument/2006/relationships/queryTable" Target="../queryTables/queryTable1142.xml"/><Relationship Id="rId1588" Type="http://schemas.openxmlformats.org/officeDocument/2006/relationships/queryTable" Target="../queryTables/queryTable1587.xml"/><Relationship Id="rId1795" Type="http://schemas.openxmlformats.org/officeDocument/2006/relationships/queryTable" Target="../queryTables/queryTable1794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350" Type="http://schemas.openxmlformats.org/officeDocument/2006/relationships/queryTable" Target="../queryTables/queryTable1349.xml"/><Relationship Id="rId1448" Type="http://schemas.openxmlformats.org/officeDocument/2006/relationships/queryTable" Target="../queryTables/queryTable1447.xml"/><Relationship Id="rId1655" Type="http://schemas.openxmlformats.org/officeDocument/2006/relationships/queryTable" Target="../queryTables/queryTable1654.xml"/><Relationship Id="rId1003" Type="http://schemas.openxmlformats.org/officeDocument/2006/relationships/queryTable" Target="../queryTables/queryTable1002.xml"/><Relationship Id="rId1210" Type="http://schemas.openxmlformats.org/officeDocument/2006/relationships/queryTable" Target="../queryTables/queryTable1209.xml"/><Relationship Id="rId1308" Type="http://schemas.openxmlformats.org/officeDocument/2006/relationships/queryTable" Target="../queryTables/queryTable1307.xml"/><Relationship Id="rId1515" Type="http://schemas.openxmlformats.org/officeDocument/2006/relationships/queryTable" Target="../queryTables/queryTable1514.xml"/><Relationship Id="rId1722" Type="http://schemas.openxmlformats.org/officeDocument/2006/relationships/queryTable" Target="../queryTables/queryTable1721.xml"/><Relationship Id="rId14" Type="http://schemas.openxmlformats.org/officeDocument/2006/relationships/queryTable" Target="../queryTables/queryTable13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165" Type="http://schemas.openxmlformats.org/officeDocument/2006/relationships/queryTable" Target="../queryTables/queryTable1164.xml"/><Relationship Id="rId1372" Type="http://schemas.openxmlformats.org/officeDocument/2006/relationships/queryTable" Target="../queryTables/queryTable1371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1232" Type="http://schemas.openxmlformats.org/officeDocument/2006/relationships/queryTable" Target="../queryTables/queryTable1231.xml"/><Relationship Id="rId1677" Type="http://schemas.openxmlformats.org/officeDocument/2006/relationships/queryTable" Target="../queryTables/queryTable1676.xml"/><Relationship Id="rId907" Type="http://schemas.openxmlformats.org/officeDocument/2006/relationships/queryTable" Target="../queryTables/queryTable906.xml"/><Relationship Id="rId1537" Type="http://schemas.openxmlformats.org/officeDocument/2006/relationships/queryTable" Target="../queryTables/queryTable1536.xml"/><Relationship Id="rId1744" Type="http://schemas.openxmlformats.org/officeDocument/2006/relationships/queryTable" Target="../queryTables/queryTable1743.xml"/><Relationship Id="rId36" Type="http://schemas.openxmlformats.org/officeDocument/2006/relationships/queryTable" Target="../queryTables/queryTable35.xml"/><Relationship Id="rId1604" Type="http://schemas.openxmlformats.org/officeDocument/2006/relationships/queryTable" Target="../queryTables/queryTable1603.xml"/><Relationship Id="rId185" Type="http://schemas.openxmlformats.org/officeDocument/2006/relationships/queryTable" Target="../queryTables/queryTable184.xml"/><Relationship Id="rId1811" Type="http://schemas.openxmlformats.org/officeDocument/2006/relationships/queryTable" Target="../queryTables/queryTable1810.xml"/><Relationship Id="rId392" Type="http://schemas.openxmlformats.org/officeDocument/2006/relationships/queryTable" Target="../queryTables/queryTable391.xml"/><Relationship Id="rId697" Type="http://schemas.openxmlformats.org/officeDocument/2006/relationships/queryTable" Target="../queryTables/queryTable696.xml"/><Relationship Id="rId252" Type="http://schemas.openxmlformats.org/officeDocument/2006/relationships/queryTable" Target="../queryTables/queryTable251.xml"/><Relationship Id="rId1187" Type="http://schemas.openxmlformats.org/officeDocument/2006/relationships/queryTable" Target="../queryTables/queryTable118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394" Type="http://schemas.openxmlformats.org/officeDocument/2006/relationships/queryTable" Target="../queryTables/queryTable1393.xml"/><Relationship Id="rId1699" Type="http://schemas.openxmlformats.org/officeDocument/2006/relationships/queryTable" Target="../queryTables/queryTable1698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1254" Type="http://schemas.openxmlformats.org/officeDocument/2006/relationships/queryTable" Target="../queryTables/queryTable1253.xml"/><Relationship Id="rId1461" Type="http://schemas.openxmlformats.org/officeDocument/2006/relationships/queryTable" Target="../queryTables/queryTable1460.xml"/><Relationship Id="rId929" Type="http://schemas.openxmlformats.org/officeDocument/2006/relationships/queryTable" Target="../queryTables/queryTable928.xml"/><Relationship Id="rId1114" Type="http://schemas.openxmlformats.org/officeDocument/2006/relationships/queryTable" Target="../queryTables/queryTable1113.xml"/><Relationship Id="rId1321" Type="http://schemas.openxmlformats.org/officeDocument/2006/relationships/queryTable" Target="../queryTables/queryTable1320.xml"/><Relationship Id="rId1559" Type="http://schemas.openxmlformats.org/officeDocument/2006/relationships/queryTable" Target="../queryTables/queryTable1558.xml"/><Relationship Id="rId1766" Type="http://schemas.openxmlformats.org/officeDocument/2006/relationships/queryTable" Target="../queryTables/queryTable1765.xml"/><Relationship Id="rId58" Type="http://schemas.openxmlformats.org/officeDocument/2006/relationships/queryTable" Target="../queryTables/queryTable57.xml"/><Relationship Id="rId1419" Type="http://schemas.openxmlformats.org/officeDocument/2006/relationships/queryTable" Target="../queryTables/queryTable1418.xml"/><Relationship Id="rId1626" Type="http://schemas.openxmlformats.org/officeDocument/2006/relationships/queryTable" Target="../queryTables/queryTable1625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1276" Type="http://schemas.openxmlformats.org/officeDocument/2006/relationships/queryTable" Target="../queryTables/queryTable1275.xml"/><Relationship Id="rId1483" Type="http://schemas.openxmlformats.org/officeDocument/2006/relationships/queryTable" Target="../queryTables/queryTable1482.xml"/><Relationship Id="rId201" Type="http://schemas.openxmlformats.org/officeDocument/2006/relationships/queryTable" Target="../queryTables/queryTable200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1136" Type="http://schemas.openxmlformats.org/officeDocument/2006/relationships/queryTable" Target="../queryTables/queryTable1135.xml"/><Relationship Id="rId1690" Type="http://schemas.openxmlformats.org/officeDocument/2006/relationships/queryTable" Target="../queryTables/queryTable1689.xml"/><Relationship Id="rId1788" Type="http://schemas.openxmlformats.org/officeDocument/2006/relationships/queryTable" Target="../queryTables/queryTable1787.xml"/><Relationship Id="rId713" Type="http://schemas.openxmlformats.org/officeDocument/2006/relationships/queryTable" Target="../queryTables/queryTable712.xml"/><Relationship Id="rId920" Type="http://schemas.openxmlformats.org/officeDocument/2006/relationships/queryTable" Target="../queryTables/queryTable919.xml"/><Relationship Id="rId1343" Type="http://schemas.openxmlformats.org/officeDocument/2006/relationships/queryTable" Target="../queryTables/queryTable1342.xml"/><Relationship Id="rId1550" Type="http://schemas.openxmlformats.org/officeDocument/2006/relationships/queryTable" Target="../queryTables/queryTable1549.xml"/><Relationship Id="rId1648" Type="http://schemas.openxmlformats.org/officeDocument/2006/relationships/queryTable" Target="../queryTables/queryTable1647.xml"/><Relationship Id="rId1203" Type="http://schemas.openxmlformats.org/officeDocument/2006/relationships/queryTable" Target="../queryTables/queryTable1202.xml"/><Relationship Id="rId1410" Type="http://schemas.openxmlformats.org/officeDocument/2006/relationships/queryTable" Target="../queryTables/queryTable1409.xml"/><Relationship Id="rId1508" Type="http://schemas.openxmlformats.org/officeDocument/2006/relationships/queryTable" Target="../queryTables/queryTable1507.xml"/><Relationship Id="rId1715" Type="http://schemas.openxmlformats.org/officeDocument/2006/relationships/queryTable" Target="../queryTables/queryTable1714.xml"/><Relationship Id="rId296" Type="http://schemas.openxmlformats.org/officeDocument/2006/relationships/queryTable" Target="../queryTables/queryTable295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298" Type="http://schemas.openxmlformats.org/officeDocument/2006/relationships/queryTable" Target="../queryTables/queryTable129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158" Type="http://schemas.openxmlformats.org/officeDocument/2006/relationships/queryTable" Target="../queryTables/queryTable1157.xml"/><Relationship Id="rId1365" Type="http://schemas.openxmlformats.org/officeDocument/2006/relationships/queryTable" Target="../queryTables/queryTable1364.xml"/><Relationship Id="rId1572" Type="http://schemas.openxmlformats.org/officeDocument/2006/relationships/queryTable" Target="../queryTables/queryTable1571.xml"/><Relationship Id="rId1018" Type="http://schemas.openxmlformats.org/officeDocument/2006/relationships/queryTable" Target="../queryTables/queryTable1017.xml"/><Relationship Id="rId1225" Type="http://schemas.openxmlformats.org/officeDocument/2006/relationships/queryTable" Target="../queryTables/queryTable1224.xml"/><Relationship Id="rId1432" Type="http://schemas.openxmlformats.org/officeDocument/2006/relationships/queryTable" Target="../queryTables/queryTable1431.xml"/><Relationship Id="rId71" Type="http://schemas.openxmlformats.org/officeDocument/2006/relationships/queryTable" Target="../queryTables/queryTable70.xml"/><Relationship Id="rId802" Type="http://schemas.openxmlformats.org/officeDocument/2006/relationships/queryTable" Target="../queryTables/queryTable801.xml"/><Relationship Id="rId1737" Type="http://schemas.openxmlformats.org/officeDocument/2006/relationships/queryTable" Target="../queryTables/queryTable1736.xml"/><Relationship Id="rId29" Type="http://schemas.openxmlformats.org/officeDocument/2006/relationships/queryTable" Target="../queryTables/queryTable28.xml"/><Relationship Id="rId178" Type="http://schemas.openxmlformats.org/officeDocument/2006/relationships/queryTable" Target="../queryTables/queryTable177.xml"/><Relationship Id="rId1804" Type="http://schemas.openxmlformats.org/officeDocument/2006/relationships/queryTable" Target="../queryTables/queryTable1803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1387" Type="http://schemas.openxmlformats.org/officeDocument/2006/relationships/queryTable" Target="../queryTables/queryTable1386.xml"/><Relationship Id="rId1594" Type="http://schemas.openxmlformats.org/officeDocument/2006/relationships/queryTable" Target="../queryTables/queryTable1593.xml"/><Relationship Id="rId93" Type="http://schemas.openxmlformats.org/officeDocument/2006/relationships/queryTable" Target="../queryTables/queryTable92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1247" Type="http://schemas.openxmlformats.org/officeDocument/2006/relationships/queryTable" Target="../queryTables/queryTable1246.xml"/><Relationship Id="rId1454" Type="http://schemas.openxmlformats.org/officeDocument/2006/relationships/queryTable" Target="../queryTables/queryTable1453.xml"/><Relationship Id="rId1661" Type="http://schemas.openxmlformats.org/officeDocument/2006/relationships/queryTable" Target="../queryTables/queryTable1660.xml"/><Relationship Id="rId1107" Type="http://schemas.openxmlformats.org/officeDocument/2006/relationships/queryTable" Target="../queryTables/queryTable1106.xml"/><Relationship Id="rId1314" Type="http://schemas.openxmlformats.org/officeDocument/2006/relationships/queryTable" Target="../queryTables/queryTable1313.xml"/><Relationship Id="rId1521" Type="http://schemas.openxmlformats.org/officeDocument/2006/relationships/queryTable" Target="../queryTables/queryTable1520.xml"/><Relationship Id="rId1759" Type="http://schemas.openxmlformats.org/officeDocument/2006/relationships/queryTable" Target="../queryTables/queryTable1758.xml"/><Relationship Id="rId1619" Type="http://schemas.openxmlformats.org/officeDocument/2006/relationships/queryTable" Target="../queryTables/queryTable1618.xml"/><Relationship Id="rId20" Type="http://schemas.openxmlformats.org/officeDocument/2006/relationships/queryTable" Target="../queryTables/queryTable19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86" Type="http://schemas.openxmlformats.org/officeDocument/2006/relationships/queryTable" Target="../queryTables/queryTable985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171" Type="http://schemas.openxmlformats.org/officeDocument/2006/relationships/queryTable" Target="../queryTables/queryTable1170.xml"/><Relationship Id="rId1269" Type="http://schemas.openxmlformats.org/officeDocument/2006/relationships/queryTable" Target="../queryTables/queryTable1268.xml"/><Relationship Id="rId1476" Type="http://schemas.openxmlformats.org/officeDocument/2006/relationships/queryTable" Target="../queryTables/queryTable1475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1129" Type="http://schemas.openxmlformats.org/officeDocument/2006/relationships/queryTable" Target="../queryTables/queryTable1128.xml"/><Relationship Id="rId1683" Type="http://schemas.openxmlformats.org/officeDocument/2006/relationships/queryTable" Target="../queryTables/queryTable1682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1336" Type="http://schemas.openxmlformats.org/officeDocument/2006/relationships/queryTable" Target="../queryTables/queryTable1335.xml"/><Relationship Id="rId1543" Type="http://schemas.openxmlformats.org/officeDocument/2006/relationships/queryTable" Target="../queryTables/queryTable1542.xml"/><Relationship Id="rId1750" Type="http://schemas.openxmlformats.org/officeDocument/2006/relationships/queryTable" Target="../queryTables/queryTable1749.xml"/><Relationship Id="rId42" Type="http://schemas.openxmlformats.org/officeDocument/2006/relationships/queryTable" Target="../queryTables/queryTable41.xml"/><Relationship Id="rId1403" Type="http://schemas.openxmlformats.org/officeDocument/2006/relationships/queryTable" Target="../queryTables/queryTable1402.xml"/><Relationship Id="rId1610" Type="http://schemas.openxmlformats.org/officeDocument/2006/relationships/queryTable" Target="../queryTables/queryTable1609.xml"/><Relationship Id="rId191" Type="http://schemas.openxmlformats.org/officeDocument/2006/relationships/queryTable" Target="../queryTables/queryTable190.xml"/><Relationship Id="rId1708" Type="http://schemas.openxmlformats.org/officeDocument/2006/relationships/queryTable" Target="../queryTables/queryTable1707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1193" Type="http://schemas.openxmlformats.org/officeDocument/2006/relationships/queryTable" Target="../queryTables/queryTable1192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1260" Type="http://schemas.openxmlformats.org/officeDocument/2006/relationships/queryTable" Target="../queryTables/queryTable1259.xml"/><Relationship Id="rId1498" Type="http://schemas.openxmlformats.org/officeDocument/2006/relationships/queryTable" Target="../queryTables/queryTable1497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1358" Type="http://schemas.openxmlformats.org/officeDocument/2006/relationships/queryTable" Target="../queryTables/queryTable1357.xml"/><Relationship Id="rId1565" Type="http://schemas.openxmlformats.org/officeDocument/2006/relationships/queryTable" Target="../queryTables/queryTable1564.xml"/><Relationship Id="rId1772" Type="http://schemas.openxmlformats.org/officeDocument/2006/relationships/queryTable" Target="../queryTables/queryTable1771.xml"/><Relationship Id="rId64" Type="http://schemas.openxmlformats.org/officeDocument/2006/relationships/queryTable" Target="../queryTables/queryTable63.xml"/><Relationship Id="rId1120" Type="http://schemas.openxmlformats.org/officeDocument/2006/relationships/queryTable" Target="../queryTables/queryTable1119.xml"/><Relationship Id="rId1218" Type="http://schemas.openxmlformats.org/officeDocument/2006/relationships/queryTable" Target="../queryTables/queryTable1217.xml"/><Relationship Id="rId1425" Type="http://schemas.openxmlformats.org/officeDocument/2006/relationships/queryTable" Target="../queryTables/queryTable1424.xml"/><Relationship Id="rId1632" Type="http://schemas.openxmlformats.org/officeDocument/2006/relationships/queryTable" Target="../queryTables/queryTable1631.xml"/><Relationship Id="rId280" Type="http://schemas.openxmlformats.org/officeDocument/2006/relationships/queryTable" Target="../queryTables/queryTable279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1282" Type="http://schemas.openxmlformats.org/officeDocument/2006/relationships/queryTable" Target="../queryTables/queryTable1281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1142" Type="http://schemas.openxmlformats.org/officeDocument/2006/relationships/queryTable" Target="../queryTables/queryTable1141.xml"/><Relationship Id="rId1587" Type="http://schemas.openxmlformats.org/officeDocument/2006/relationships/queryTable" Target="../queryTables/queryTable1586.xml"/><Relationship Id="rId1794" Type="http://schemas.openxmlformats.org/officeDocument/2006/relationships/queryTable" Target="../queryTables/queryTable1793.xml"/><Relationship Id="rId86" Type="http://schemas.openxmlformats.org/officeDocument/2006/relationships/queryTable" Target="../queryTables/queryTable8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1447" Type="http://schemas.openxmlformats.org/officeDocument/2006/relationships/queryTable" Target="../queryTables/queryTable1446.xml"/><Relationship Id="rId1654" Type="http://schemas.openxmlformats.org/officeDocument/2006/relationships/queryTable" Target="../queryTables/queryTable1653.xml"/><Relationship Id="rId1307" Type="http://schemas.openxmlformats.org/officeDocument/2006/relationships/queryTable" Target="../queryTables/queryTable1306.xml"/><Relationship Id="rId1514" Type="http://schemas.openxmlformats.org/officeDocument/2006/relationships/queryTable" Target="../queryTables/queryTable1513.xml"/><Relationship Id="rId1721" Type="http://schemas.openxmlformats.org/officeDocument/2006/relationships/queryTable" Target="../queryTables/queryTable1720.xml"/><Relationship Id="rId13" Type="http://schemas.openxmlformats.org/officeDocument/2006/relationships/queryTable" Target="../queryTables/queryTable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164" Type="http://schemas.openxmlformats.org/officeDocument/2006/relationships/queryTable" Target="../queryTables/queryTable1163.xml"/><Relationship Id="rId1371" Type="http://schemas.openxmlformats.org/officeDocument/2006/relationships/queryTable" Target="../queryTables/queryTable1370.xml"/><Relationship Id="rId1469" Type="http://schemas.openxmlformats.org/officeDocument/2006/relationships/queryTable" Target="../queryTables/queryTable1468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1231" Type="http://schemas.openxmlformats.org/officeDocument/2006/relationships/queryTable" Target="../queryTables/queryTable1230.xml"/><Relationship Id="rId1676" Type="http://schemas.openxmlformats.org/officeDocument/2006/relationships/queryTable" Target="../queryTables/queryTable1675.xml"/><Relationship Id="rId906" Type="http://schemas.openxmlformats.org/officeDocument/2006/relationships/queryTable" Target="../queryTables/queryTable905.xml"/><Relationship Id="rId1329" Type="http://schemas.openxmlformats.org/officeDocument/2006/relationships/queryTable" Target="../queryTables/queryTable1328.xml"/><Relationship Id="rId1536" Type="http://schemas.openxmlformats.org/officeDocument/2006/relationships/queryTable" Target="../queryTables/queryTable1535.xml"/><Relationship Id="rId1743" Type="http://schemas.openxmlformats.org/officeDocument/2006/relationships/queryTable" Target="../queryTables/queryTable1742.xml"/><Relationship Id="rId35" Type="http://schemas.openxmlformats.org/officeDocument/2006/relationships/queryTable" Target="../queryTables/queryTable34.xml"/><Relationship Id="rId1603" Type="http://schemas.openxmlformats.org/officeDocument/2006/relationships/queryTable" Target="../queryTables/queryTable1602.xml"/><Relationship Id="rId1810" Type="http://schemas.openxmlformats.org/officeDocument/2006/relationships/queryTable" Target="../queryTables/queryTable1809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86" Type="http://schemas.openxmlformats.org/officeDocument/2006/relationships/queryTable" Target="../queryTables/queryTable1185.xml"/><Relationship Id="rId1393" Type="http://schemas.openxmlformats.org/officeDocument/2006/relationships/queryTable" Target="../queryTables/queryTable1392.xml"/><Relationship Id="rId111" Type="http://schemas.openxmlformats.org/officeDocument/2006/relationships/queryTable" Target="../queryTables/queryTable110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1253" Type="http://schemas.openxmlformats.org/officeDocument/2006/relationships/queryTable" Target="../queryTables/queryTable1252.xml"/><Relationship Id="rId1698" Type="http://schemas.openxmlformats.org/officeDocument/2006/relationships/queryTable" Target="../queryTables/queryTable1697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1460" Type="http://schemas.openxmlformats.org/officeDocument/2006/relationships/queryTable" Target="../queryTables/queryTable1459.xml"/><Relationship Id="rId1558" Type="http://schemas.openxmlformats.org/officeDocument/2006/relationships/queryTable" Target="../queryTables/queryTable1557.xml"/><Relationship Id="rId1765" Type="http://schemas.openxmlformats.org/officeDocument/2006/relationships/queryTable" Target="../queryTables/queryTable1764.xml"/><Relationship Id="rId57" Type="http://schemas.openxmlformats.org/officeDocument/2006/relationships/queryTable" Target="../queryTables/queryTable56.xml"/><Relationship Id="rId1113" Type="http://schemas.openxmlformats.org/officeDocument/2006/relationships/queryTable" Target="../queryTables/queryTable1112.xml"/><Relationship Id="rId1320" Type="http://schemas.openxmlformats.org/officeDocument/2006/relationships/queryTable" Target="../queryTables/queryTable1319.xml"/><Relationship Id="rId1418" Type="http://schemas.openxmlformats.org/officeDocument/2006/relationships/queryTable" Target="../queryTables/queryTable1417.xml"/><Relationship Id="rId1625" Type="http://schemas.openxmlformats.org/officeDocument/2006/relationships/queryTable" Target="../queryTables/queryTable1624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1275" Type="http://schemas.openxmlformats.org/officeDocument/2006/relationships/queryTable" Target="../queryTables/queryTable1274.xml"/><Relationship Id="rId1482" Type="http://schemas.openxmlformats.org/officeDocument/2006/relationships/queryTable" Target="../queryTables/queryTable1481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1135" Type="http://schemas.openxmlformats.org/officeDocument/2006/relationships/queryTable" Target="../queryTables/queryTable1134.xml"/><Relationship Id="rId1342" Type="http://schemas.openxmlformats.org/officeDocument/2006/relationships/queryTable" Target="../queryTables/queryTable1341.xml"/><Relationship Id="rId1787" Type="http://schemas.openxmlformats.org/officeDocument/2006/relationships/queryTable" Target="../queryTables/queryTable1786.xml"/><Relationship Id="rId79" Type="http://schemas.openxmlformats.org/officeDocument/2006/relationships/queryTable" Target="../queryTables/queryTable78.xml"/><Relationship Id="rId1202" Type="http://schemas.openxmlformats.org/officeDocument/2006/relationships/queryTable" Target="../queryTables/queryTable1201.xml"/><Relationship Id="rId1647" Type="http://schemas.openxmlformats.org/officeDocument/2006/relationships/queryTable" Target="../queryTables/queryTable1646.xml"/><Relationship Id="rId1507" Type="http://schemas.openxmlformats.org/officeDocument/2006/relationships/queryTable" Target="../queryTables/queryTable1506.xml"/><Relationship Id="rId1714" Type="http://schemas.openxmlformats.org/officeDocument/2006/relationships/queryTable" Target="../queryTables/queryTable1713.xml"/><Relationship Id="rId295" Type="http://schemas.openxmlformats.org/officeDocument/2006/relationships/queryTable" Target="../queryTables/queryTable294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1297" Type="http://schemas.openxmlformats.org/officeDocument/2006/relationships/queryTable" Target="../queryTables/queryTable1296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1157" Type="http://schemas.openxmlformats.org/officeDocument/2006/relationships/queryTable" Target="../queryTables/queryTable1156.xml"/><Relationship Id="rId1364" Type="http://schemas.openxmlformats.org/officeDocument/2006/relationships/queryTable" Target="../queryTables/queryTable1363.xml"/><Relationship Id="rId1571" Type="http://schemas.openxmlformats.org/officeDocument/2006/relationships/queryTable" Target="../queryTables/queryTable1570.xml"/><Relationship Id="rId70" Type="http://schemas.openxmlformats.org/officeDocument/2006/relationships/queryTable" Target="../queryTables/queryTable6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224" Type="http://schemas.openxmlformats.org/officeDocument/2006/relationships/queryTable" Target="../queryTables/queryTable1223.xml"/><Relationship Id="rId1431" Type="http://schemas.openxmlformats.org/officeDocument/2006/relationships/queryTable" Target="../queryTables/queryTable1430.xml"/><Relationship Id="rId1669" Type="http://schemas.openxmlformats.org/officeDocument/2006/relationships/queryTable" Target="../queryTables/queryTable1668.xml"/><Relationship Id="rId1529" Type="http://schemas.openxmlformats.org/officeDocument/2006/relationships/queryTable" Target="../queryTables/queryTable1528.xml"/><Relationship Id="rId1736" Type="http://schemas.openxmlformats.org/officeDocument/2006/relationships/queryTable" Target="../queryTables/queryTable1735.xml"/><Relationship Id="rId28" Type="http://schemas.openxmlformats.org/officeDocument/2006/relationships/queryTable" Target="../queryTables/queryTable27.xml"/><Relationship Id="rId1803" Type="http://schemas.openxmlformats.org/officeDocument/2006/relationships/queryTable" Target="../queryTables/queryTable1802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179" Type="http://schemas.openxmlformats.org/officeDocument/2006/relationships/queryTable" Target="../queryTables/queryTable1178.xml"/><Relationship Id="rId1386" Type="http://schemas.openxmlformats.org/officeDocument/2006/relationships/queryTable" Target="../queryTables/queryTable1385.xml"/><Relationship Id="rId1593" Type="http://schemas.openxmlformats.org/officeDocument/2006/relationships/queryTable" Target="../queryTables/queryTable1592.xml"/><Relationship Id="rId104" Type="http://schemas.openxmlformats.org/officeDocument/2006/relationships/queryTable" Target="../queryTables/queryTable103.xml"/><Relationship Id="rId311" Type="http://schemas.openxmlformats.org/officeDocument/2006/relationships/queryTable" Target="../queryTables/queryTable310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1246" Type="http://schemas.openxmlformats.org/officeDocument/2006/relationships/queryTable" Target="../queryTables/queryTable1245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1453" Type="http://schemas.openxmlformats.org/officeDocument/2006/relationships/queryTable" Target="../queryTables/queryTable1452.xml"/><Relationship Id="rId1660" Type="http://schemas.openxmlformats.org/officeDocument/2006/relationships/queryTable" Target="../queryTables/queryTable1659.xml"/><Relationship Id="rId1758" Type="http://schemas.openxmlformats.org/officeDocument/2006/relationships/queryTable" Target="../queryTables/queryTable1757.xml"/><Relationship Id="rId1106" Type="http://schemas.openxmlformats.org/officeDocument/2006/relationships/queryTable" Target="../queryTables/queryTable1105.xml"/><Relationship Id="rId1313" Type="http://schemas.openxmlformats.org/officeDocument/2006/relationships/queryTable" Target="../queryTables/queryTable1312.xml"/><Relationship Id="rId1520" Type="http://schemas.openxmlformats.org/officeDocument/2006/relationships/queryTable" Target="../queryTables/queryTable1519.xml"/><Relationship Id="rId1618" Type="http://schemas.openxmlformats.org/officeDocument/2006/relationships/queryTable" Target="../queryTables/queryTable1617.xml"/><Relationship Id="rId199" Type="http://schemas.openxmlformats.org/officeDocument/2006/relationships/queryTable" Target="../queryTables/queryTable198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1170" Type="http://schemas.openxmlformats.org/officeDocument/2006/relationships/queryTable" Target="../queryTables/queryTable1169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1268" Type="http://schemas.openxmlformats.org/officeDocument/2006/relationships/queryTable" Target="../queryTables/queryTable1267.xml"/><Relationship Id="rId1475" Type="http://schemas.openxmlformats.org/officeDocument/2006/relationships/queryTable" Target="../queryTables/queryTable1474.xml"/><Relationship Id="rId1682" Type="http://schemas.openxmlformats.org/officeDocument/2006/relationships/queryTable" Target="../queryTables/queryTable1681.xml"/><Relationship Id="rId400" Type="http://schemas.openxmlformats.org/officeDocument/2006/relationships/queryTable" Target="../queryTables/queryTable399.xml"/><Relationship Id="rId705" Type="http://schemas.openxmlformats.org/officeDocument/2006/relationships/queryTable" Target="../queryTables/queryTable704.xml"/><Relationship Id="rId1128" Type="http://schemas.openxmlformats.org/officeDocument/2006/relationships/queryTable" Target="../queryTables/queryTable1127.xml"/><Relationship Id="rId1335" Type="http://schemas.openxmlformats.org/officeDocument/2006/relationships/queryTable" Target="../queryTables/queryTable1334.xml"/><Relationship Id="rId1542" Type="http://schemas.openxmlformats.org/officeDocument/2006/relationships/queryTable" Target="../queryTables/queryTable1541.xml"/><Relationship Id="rId912" Type="http://schemas.openxmlformats.org/officeDocument/2006/relationships/queryTable" Target="../queryTables/queryTable911.xml"/><Relationship Id="rId41" Type="http://schemas.openxmlformats.org/officeDocument/2006/relationships/queryTable" Target="../queryTables/queryTable40.xml"/><Relationship Id="rId1402" Type="http://schemas.openxmlformats.org/officeDocument/2006/relationships/queryTable" Target="../queryTables/queryTable1401.xml"/><Relationship Id="rId1707" Type="http://schemas.openxmlformats.org/officeDocument/2006/relationships/queryTable" Target="../queryTables/queryTable1706.xml"/><Relationship Id="rId190" Type="http://schemas.openxmlformats.org/officeDocument/2006/relationships/queryTable" Target="../queryTables/queryTable189.xml"/><Relationship Id="rId288" Type="http://schemas.openxmlformats.org/officeDocument/2006/relationships/queryTable" Target="../queryTables/queryTable287.xml"/><Relationship Id="rId495" Type="http://schemas.openxmlformats.org/officeDocument/2006/relationships/queryTable" Target="../queryTables/queryTable494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1192" Type="http://schemas.openxmlformats.org/officeDocument/2006/relationships/queryTable" Target="../queryTables/queryTable119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1497" Type="http://schemas.openxmlformats.org/officeDocument/2006/relationships/queryTable" Target="../queryTables/queryTable1496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1357" Type="http://schemas.openxmlformats.org/officeDocument/2006/relationships/queryTable" Target="../queryTables/queryTable1356.xml"/><Relationship Id="rId1564" Type="http://schemas.openxmlformats.org/officeDocument/2006/relationships/queryTable" Target="../queryTables/queryTable1563.xml"/><Relationship Id="rId1771" Type="http://schemas.openxmlformats.org/officeDocument/2006/relationships/queryTable" Target="../queryTables/queryTable1770.xml"/><Relationship Id="rId63" Type="http://schemas.openxmlformats.org/officeDocument/2006/relationships/queryTable" Target="../queryTables/queryTable62.xml"/><Relationship Id="rId1217" Type="http://schemas.openxmlformats.org/officeDocument/2006/relationships/queryTable" Target="../queryTables/queryTable1216.xml"/><Relationship Id="rId1424" Type="http://schemas.openxmlformats.org/officeDocument/2006/relationships/queryTable" Target="../queryTables/queryTable1423.xml"/><Relationship Id="rId1631" Type="http://schemas.openxmlformats.org/officeDocument/2006/relationships/queryTable" Target="../queryTables/queryTable1630.xml"/><Relationship Id="rId1729" Type="http://schemas.openxmlformats.org/officeDocument/2006/relationships/queryTable" Target="../queryTables/queryTable1728.xml"/><Relationship Id="rId377" Type="http://schemas.openxmlformats.org/officeDocument/2006/relationships/queryTable" Target="../queryTables/queryTable376.xml"/><Relationship Id="rId584" Type="http://schemas.openxmlformats.org/officeDocument/2006/relationships/queryTable" Target="../queryTables/queryTable583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1281" Type="http://schemas.openxmlformats.org/officeDocument/2006/relationships/queryTable" Target="../queryTables/queryTable1280.xml"/><Relationship Id="rId1379" Type="http://schemas.openxmlformats.org/officeDocument/2006/relationships/queryTable" Target="../queryTables/queryTable1378.xml"/><Relationship Id="rId1586" Type="http://schemas.openxmlformats.org/officeDocument/2006/relationships/queryTable" Target="../queryTables/queryTable1585.xml"/><Relationship Id="rId304" Type="http://schemas.openxmlformats.org/officeDocument/2006/relationships/queryTable" Target="../queryTables/queryTable303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1141" Type="http://schemas.openxmlformats.org/officeDocument/2006/relationships/queryTable" Target="../queryTables/queryTable1140.xml"/><Relationship Id="rId1239" Type="http://schemas.openxmlformats.org/officeDocument/2006/relationships/queryTable" Target="../queryTables/queryTable1238.xml"/><Relationship Id="rId1793" Type="http://schemas.openxmlformats.org/officeDocument/2006/relationships/queryTable" Target="../queryTables/queryTable1792.xml"/><Relationship Id="rId85" Type="http://schemas.openxmlformats.org/officeDocument/2006/relationships/queryTable" Target="../queryTables/queryTable8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1446" Type="http://schemas.openxmlformats.org/officeDocument/2006/relationships/queryTable" Target="../queryTables/queryTable1445.xml"/><Relationship Id="rId1653" Type="http://schemas.openxmlformats.org/officeDocument/2006/relationships/queryTable" Target="../queryTables/queryTable1652.xml"/><Relationship Id="rId1306" Type="http://schemas.openxmlformats.org/officeDocument/2006/relationships/queryTable" Target="../queryTables/queryTable1305.xml"/><Relationship Id="rId1513" Type="http://schemas.openxmlformats.org/officeDocument/2006/relationships/queryTable" Target="../queryTables/queryTable1512.xml"/><Relationship Id="rId1720" Type="http://schemas.openxmlformats.org/officeDocument/2006/relationships/queryTable" Target="../queryTables/queryTable1719.xml"/><Relationship Id="rId12" Type="http://schemas.openxmlformats.org/officeDocument/2006/relationships/queryTable" Target="../queryTables/queryTable11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1163" Type="http://schemas.openxmlformats.org/officeDocument/2006/relationships/queryTable" Target="../queryTables/queryTable1162.xml"/><Relationship Id="rId1370" Type="http://schemas.openxmlformats.org/officeDocument/2006/relationships/queryTable" Target="../queryTables/queryTable1369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468" Type="http://schemas.openxmlformats.org/officeDocument/2006/relationships/queryTable" Target="../queryTables/queryTable1467.xml"/><Relationship Id="rId1675" Type="http://schemas.openxmlformats.org/officeDocument/2006/relationships/queryTable" Target="../queryTables/queryTable1674.xml"/><Relationship Id="rId600" Type="http://schemas.openxmlformats.org/officeDocument/2006/relationships/queryTable" Target="../queryTables/queryTable599.xml"/><Relationship Id="rId1230" Type="http://schemas.openxmlformats.org/officeDocument/2006/relationships/queryTable" Target="../queryTables/queryTable1229.xml"/><Relationship Id="rId1328" Type="http://schemas.openxmlformats.org/officeDocument/2006/relationships/queryTable" Target="../queryTables/queryTable1327.xml"/><Relationship Id="rId1535" Type="http://schemas.openxmlformats.org/officeDocument/2006/relationships/queryTable" Target="../queryTables/queryTable1534.xml"/><Relationship Id="rId905" Type="http://schemas.openxmlformats.org/officeDocument/2006/relationships/queryTable" Target="../queryTables/queryTable904.xml"/><Relationship Id="rId1742" Type="http://schemas.openxmlformats.org/officeDocument/2006/relationships/queryTable" Target="../queryTables/queryTable1741.xml"/><Relationship Id="rId34" Type="http://schemas.openxmlformats.org/officeDocument/2006/relationships/queryTable" Target="../queryTables/queryTable33.xml"/><Relationship Id="rId1602" Type="http://schemas.openxmlformats.org/officeDocument/2006/relationships/queryTable" Target="../queryTables/queryTable1601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185" Type="http://schemas.openxmlformats.org/officeDocument/2006/relationships/queryTable" Target="../queryTables/queryTable1184.xml"/><Relationship Id="rId1392" Type="http://schemas.openxmlformats.org/officeDocument/2006/relationships/queryTable" Target="../queryTables/queryTable1391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1252" Type="http://schemas.openxmlformats.org/officeDocument/2006/relationships/queryTable" Target="../queryTables/queryTable1251.xml"/><Relationship Id="rId1697" Type="http://schemas.openxmlformats.org/officeDocument/2006/relationships/queryTable" Target="../queryTables/queryTable1696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1557" Type="http://schemas.openxmlformats.org/officeDocument/2006/relationships/queryTable" Target="../queryTables/queryTable1556.xml"/><Relationship Id="rId1764" Type="http://schemas.openxmlformats.org/officeDocument/2006/relationships/queryTable" Target="../queryTables/queryTable1763.xml"/><Relationship Id="rId56" Type="http://schemas.openxmlformats.org/officeDocument/2006/relationships/queryTable" Target="../queryTables/queryTable55.xml"/><Relationship Id="rId1417" Type="http://schemas.openxmlformats.org/officeDocument/2006/relationships/queryTable" Target="../queryTables/queryTable1416.xml"/><Relationship Id="rId1624" Type="http://schemas.openxmlformats.org/officeDocument/2006/relationships/queryTable" Target="../queryTables/queryTable1623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1274" Type="http://schemas.openxmlformats.org/officeDocument/2006/relationships/queryTable" Target="../queryTables/queryTable1273.xml"/><Relationship Id="rId1481" Type="http://schemas.openxmlformats.org/officeDocument/2006/relationships/queryTable" Target="../queryTables/queryTable1480.xml"/><Relationship Id="rId1579" Type="http://schemas.openxmlformats.org/officeDocument/2006/relationships/queryTable" Target="../queryTables/queryTable1578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1134" Type="http://schemas.openxmlformats.org/officeDocument/2006/relationships/queryTable" Target="../queryTables/queryTable1133.xml"/><Relationship Id="rId1341" Type="http://schemas.openxmlformats.org/officeDocument/2006/relationships/queryTable" Target="../queryTables/queryTable1340.xml"/><Relationship Id="rId1786" Type="http://schemas.openxmlformats.org/officeDocument/2006/relationships/queryTable" Target="../queryTables/queryTable1785.xml"/><Relationship Id="rId78" Type="http://schemas.openxmlformats.org/officeDocument/2006/relationships/queryTable" Target="../queryTables/queryTable77.xml"/><Relationship Id="rId809" Type="http://schemas.openxmlformats.org/officeDocument/2006/relationships/queryTable" Target="../queryTables/queryTable808.xml"/><Relationship Id="rId1201" Type="http://schemas.openxmlformats.org/officeDocument/2006/relationships/queryTable" Target="../queryTables/queryTable1200.xml"/><Relationship Id="rId1439" Type="http://schemas.openxmlformats.org/officeDocument/2006/relationships/queryTable" Target="../queryTables/queryTable1438.xml"/><Relationship Id="rId1646" Type="http://schemas.openxmlformats.org/officeDocument/2006/relationships/queryTable" Target="../queryTables/queryTable1645.xml"/><Relationship Id="rId1506" Type="http://schemas.openxmlformats.org/officeDocument/2006/relationships/queryTable" Target="../queryTables/queryTable1505.xml"/><Relationship Id="rId1713" Type="http://schemas.openxmlformats.org/officeDocument/2006/relationships/queryTable" Target="../queryTables/queryTable1712.xml"/><Relationship Id="rId294" Type="http://schemas.openxmlformats.org/officeDocument/2006/relationships/queryTable" Target="../queryTables/queryTable293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296" Type="http://schemas.openxmlformats.org/officeDocument/2006/relationships/queryTable" Target="../queryTables/queryTable129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1156" Type="http://schemas.openxmlformats.org/officeDocument/2006/relationships/queryTable" Target="../queryTables/queryTable1155.xml"/><Relationship Id="rId1363" Type="http://schemas.openxmlformats.org/officeDocument/2006/relationships/queryTable" Target="../queryTables/queryTable1362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570" Type="http://schemas.openxmlformats.org/officeDocument/2006/relationships/queryTable" Target="../queryTables/queryTable1569.xml"/><Relationship Id="rId1668" Type="http://schemas.openxmlformats.org/officeDocument/2006/relationships/queryTable" Target="../queryTables/queryTable1667.xml"/><Relationship Id="rId800" Type="http://schemas.openxmlformats.org/officeDocument/2006/relationships/queryTable" Target="../queryTables/queryTable799.xml"/><Relationship Id="rId1223" Type="http://schemas.openxmlformats.org/officeDocument/2006/relationships/queryTable" Target="../queryTables/queryTable1222.xml"/><Relationship Id="rId1430" Type="http://schemas.openxmlformats.org/officeDocument/2006/relationships/queryTable" Target="../queryTables/queryTable1429.xml"/><Relationship Id="rId1528" Type="http://schemas.openxmlformats.org/officeDocument/2006/relationships/queryTable" Target="../queryTables/queryTable1527.xml"/><Relationship Id="rId1735" Type="http://schemas.openxmlformats.org/officeDocument/2006/relationships/queryTable" Target="../queryTables/queryTable1734.xml"/><Relationship Id="rId27" Type="http://schemas.openxmlformats.org/officeDocument/2006/relationships/queryTable" Target="../queryTables/queryTable26.xml"/><Relationship Id="rId1802" Type="http://schemas.openxmlformats.org/officeDocument/2006/relationships/queryTable" Target="../queryTables/queryTable1801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1080" Type="http://schemas.openxmlformats.org/officeDocument/2006/relationships/queryTable" Target="../queryTables/queryTable1079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1178" Type="http://schemas.openxmlformats.org/officeDocument/2006/relationships/queryTable" Target="../queryTables/queryTable1177.xml"/><Relationship Id="rId1385" Type="http://schemas.openxmlformats.org/officeDocument/2006/relationships/queryTable" Target="../queryTables/queryTable1384.xml"/><Relationship Id="rId1592" Type="http://schemas.openxmlformats.org/officeDocument/2006/relationships/queryTable" Target="../queryTables/queryTable1591.xml"/><Relationship Id="rId91" Type="http://schemas.openxmlformats.org/officeDocument/2006/relationships/queryTable" Target="../queryTables/queryTable90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1245" Type="http://schemas.openxmlformats.org/officeDocument/2006/relationships/queryTable" Target="../queryTables/queryTable1244.xml"/><Relationship Id="rId1452" Type="http://schemas.openxmlformats.org/officeDocument/2006/relationships/queryTable" Target="../queryTables/queryTable1451.xml"/><Relationship Id="rId1105" Type="http://schemas.openxmlformats.org/officeDocument/2006/relationships/queryTable" Target="../queryTables/queryTable1104.xml"/><Relationship Id="rId1312" Type="http://schemas.openxmlformats.org/officeDocument/2006/relationships/queryTable" Target="../queryTables/queryTable1311.xml"/><Relationship Id="rId1757" Type="http://schemas.openxmlformats.org/officeDocument/2006/relationships/queryTable" Target="../queryTables/queryTable1756.xml"/><Relationship Id="rId49" Type="http://schemas.openxmlformats.org/officeDocument/2006/relationships/queryTable" Target="../queryTables/queryTable48.xml"/><Relationship Id="rId1617" Type="http://schemas.openxmlformats.org/officeDocument/2006/relationships/queryTable" Target="../queryTables/queryTable1616.xml"/><Relationship Id="rId198" Type="http://schemas.openxmlformats.org/officeDocument/2006/relationships/queryTable" Target="../queryTables/queryTable197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1267" Type="http://schemas.openxmlformats.org/officeDocument/2006/relationships/queryTable" Target="../queryTables/queryTable1266.xml"/><Relationship Id="rId1474" Type="http://schemas.openxmlformats.org/officeDocument/2006/relationships/queryTable" Target="../queryTables/queryTable1473.xml"/><Relationship Id="rId1681" Type="http://schemas.openxmlformats.org/officeDocument/2006/relationships/queryTable" Target="../queryTables/queryTable1680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1127" Type="http://schemas.openxmlformats.org/officeDocument/2006/relationships/queryTable" Target="../queryTables/queryTable1126.xml"/><Relationship Id="rId1334" Type="http://schemas.openxmlformats.org/officeDocument/2006/relationships/queryTable" Target="../queryTables/queryTable1333.xml"/><Relationship Id="rId1541" Type="http://schemas.openxmlformats.org/officeDocument/2006/relationships/queryTable" Target="../queryTables/queryTable1540.xml"/><Relationship Id="rId1779" Type="http://schemas.openxmlformats.org/officeDocument/2006/relationships/queryTable" Target="../queryTables/queryTable1778.xml"/><Relationship Id="rId40" Type="http://schemas.openxmlformats.org/officeDocument/2006/relationships/queryTable" Target="../queryTables/queryTable39.xml"/><Relationship Id="rId1401" Type="http://schemas.openxmlformats.org/officeDocument/2006/relationships/queryTable" Target="../queryTables/queryTable1400.xml"/><Relationship Id="rId1639" Type="http://schemas.openxmlformats.org/officeDocument/2006/relationships/queryTable" Target="../queryTables/queryTable1638.xml"/><Relationship Id="rId1706" Type="http://schemas.openxmlformats.org/officeDocument/2006/relationships/queryTable" Target="../queryTables/queryTable1705.xml"/><Relationship Id="rId287" Type="http://schemas.openxmlformats.org/officeDocument/2006/relationships/queryTable" Target="../queryTables/queryTable286.xml"/><Relationship Id="rId494" Type="http://schemas.openxmlformats.org/officeDocument/2006/relationships/queryTable" Target="../queryTables/queryTable493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1191" Type="http://schemas.openxmlformats.org/officeDocument/2006/relationships/queryTable" Target="../queryTables/queryTable119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1289" Type="http://schemas.openxmlformats.org/officeDocument/2006/relationships/queryTable" Target="../queryTables/queryTable1288.xml"/><Relationship Id="rId1496" Type="http://schemas.openxmlformats.org/officeDocument/2006/relationships/queryTable" Target="../queryTables/queryTable1495.xml"/><Relationship Id="rId214" Type="http://schemas.openxmlformats.org/officeDocument/2006/relationships/queryTable" Target="../queryTables/queryTable213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149" Type="http://schemas.openxmlformats.org/officeDocument/2006/relationships/queryTable" Target="../queryTables/queryTable1148.xml"/><Relationship Id="rId1356" Type="http://schemas.openxmlformats.org/officeDocument/2006/relationships/queryTable" Target="../queryTables/queryTable1355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1563" Type="http://schemas.openxmlformats.org/officeDocument/2006/relationships/queryTable" Target="../queryTables/queryTable1562.xml"/><Relationship Id="rId1770" Type="http://schemas.openxmlformats.org/officeDocument/2006/relationships/queryTable" Target="../queryTables/queryTable1769.xml"/><Relationship Id="rId62" Type="http://schemas.openxmlformats.org/officeDocument/2006/relationships/queryTable" Target="../queryTables/queryTable61.xml"/><Relationship Id="rId1216" Type="http://schemas.openxmlformats.org/officeDocument/2006/relationships/queryTable" Target="../queryTables/queryTable1215.xml"/><Relationship Id="rId1423" Type="http://schemas.openxmlformats.org/officeDocument/2006/relationships/queryTable" Target="../queryTables/queryTable1422.xml"/><Relationship Id="rId1630" Type="http://schemas.openxmlformats.org/officeDocument/2006/relationships/queryTable" Target="../queryTables/queryTable1629.xml"/><Relationship Id="rId1728" Type="http://schemas.openxmlformats.org/officeDocument/2006/relationships/queryTable" Target="../queryTables/queryTable1727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1280" Type="http://schemas.openxmlformats.org/officeDocument/2006/relationships/queryTable" Target="../queryTables/queryTable1279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1140" Type="http://schemas.openxmlformats.org/officeDocument/2006/relationships/queryTable" Target="../queryTables/queryTable1139.xml"/><Relationship Id="rId1378" Type="http://schemas.openxmlformats.org/officeDocument/2006/relationships/queryTable" Target="../queryTables/queryTable1377.xml"/><Relationship Id="rId1585" Type="http://schemas.openxmlformats.org/officeDocument/2006/relationships/queryTable" Target="../queryTables/queryTable1584.xml"/><Relationship Id="rId1792" Type="http://schemas.openxmlformats.org/officeDocument/2006/relationships/queryTable" Target="../queryTables/queryTable1791.xml"/><Relationship Id="rId84" Type="http://schemas.openxmlformats.org/officeDocument/2006/relationships/queryTable" Target="../queryTables/queryTable83.xml"/><Relationship Id="rId510" Type="http://schemas.openxmlformats.org/officeDocument/2006/relationships/queryTable" Target="../queryTables/queryTable509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1238" Type="http://schemas.openxmlformats.org/officeDocument/2006/relationships/queryTable" Target="../queryTables/queryTable1237.xml"/><Relationship Id="rId1445" Type="http://schemas.openxmlformats.org/officeDocument/2006/relationships/queryTable" Target="../queryTables/queryTable1444.xml"/><Relationship Id="rId1652" Type="http://schemas.openxmlformats.org/officeDocument/2006/relationships/queryTable" Target="../queryTables/queryTable1651.xml"/><Relationship Id="rId1000" Type="http://schemas.openxmlformats.org/officeDocument/2006/relationships/queryTable" Target="../queryTables/queryTable999.xml"/><Relationship Id="rId1305" Type="http://schemas.openxmlformats.org/officeDocument/2006/relationships/queryTable" Target="../queryTables/queryTable1304.xml"/><Relationship Id="rId1512" Type="http://schemas.openxmlformats.org/officeDocument/2006/relationships/queryTable" Target="../queryTables/queryTable1511.xml"/><Relationship Id="rId11" Type="http://schemas.openxmlformats.org/officeDocument/2006/relationships/queryTable" Target="../queryTables/queryTable10.xml"/><Relationship Id="rId398" Type="http://schemas.openxmlformats.org/officeDocument/2006/relationships/queryTable" Target="../queryTables/queryTable397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1456" Type="http://schemas.openxmlformats.org/officeDocument/2006/relationships/queryTable" Target="../queryTables/queryTable1455.xml"/><Relationship Id="rId1663" Type="http://schemas.openxmlformats.org/officeDocument/2006/relationships/queryTable" Target="../queryTables/queryTable1662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1316" Type="http://schemas.openxmlformats.org/officeDocument/2006/relationships/queryTable" Target="../queryTables/queryTable1315.xml"/><Relationship Id="rId1523" Type="http://schemas.openxmlformats.org/officeDocument/2006/relationships/queryTable" Target="../queryTables/queryTable1522.xml"/><Relationship Id="rId1730" Type="http://schemas.openxmlformats.org/officeDocument/2006/relationships/queryTable" Target="../queryTables/queryTable1729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162" Type="http://schemas.openxmlformats.org/officeDocument/2006/relationships/queryTable" Target="../queryTables/queryTable1161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1467" Type="http://schemas.openxmlformats.org/officeDocument/2006/relationships/queryTable" Target="../queryTables/queryTable1466.xml"/><Relationship Id="rId1674" Type="http://schemas.openxmlformats.org/officeDocument/2006/relationships/queryTable" Target="../queryTables/queryTable1673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1327" Type="http://schemas.openxmlformats.org/officeDocument/2006/relationships/queryTable" Target="../queryTables/queryTable1326.xml"/><Relationship Id="rId1534" Type="http://schemas.openxmlformats.org/officeDocument/2006/relationships/queryTable" Target="../queryTables/queryTable1533.xml"/><Relationship Id="rId1741" Type="http://schemas.openxmlformats.org/officeDocument/2006/relationships/queryTable" Target="../queryTables/queryTable1740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173" Type="http://schemas.openxmlformats.org/officeDocument/2006/relationships/queryTable" Target="../queryTables/queryTable1172.xml"/><Relationship Id="rId1380" Type="http://schemas.openxmlformats.org/officeDocument/2006/relationships/queryTable" Target="../queryTables/queryTable1379.xml"/><Relationship Id="rId1601" Type="http://schemas.openxmlformats.org/officeDocument/2006/relationships/queryTable" Target="../queryTables/queryTable1600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1478" Type="http://schemas.openxmlformats.org/officeDocument/2006/relationships/queryTable" Target="../queryTables/queryTable1477.xml"/><Relationship Id="rId1685" Type="http://schemas.openxmlformats.org/officeDocument/2006/relationships/queryTable" Target="../queryTables/queryTable1684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1240" Type="http://schemas.openxmlformats.org/officeDocument/2006/relationships/queryTable" Target="../queryTables/queryTable1239.xml"/><Relationship Id="rId1338" Type="http://schemas.openxmlformats.org/officeDocument/2006/relationships/queryTable" Target="../queryTables/queryTable1337.xml"/><Relationship Id="rId1545" Type="http://schemas.openxmlformats.org/officeDocument/2006/relationships/queryTable" Target="../queryTables/queryTable154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1184" Type="http://schemas.openxmlformats.org/officeDocument/2006/relationships/queryTable" Target="../queryTables/queryTable1183.xml"/><Relationship Id="rId1405" Type="http://schemas.openxmlformats.org/officeDocument/2006/relationships/queryTable" Target="../queryTables/queryTable1404.xml"/><Relationship Id="rId1752" Type="http://schemas.openxmlformats.org/officeDocument/2006/relationships/queryTable" Target="../queryTables/queryTable1751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391" Type="http://schemas.openxmlformats.org/officeDocument/2006/relationships/queryTable" Target="../queryTables/queryTable1390.xml"/><Relationship Id="rId1489" Type="http://schemas.openxmlformats.org/officeDocument/2006/relationships/queryTable" Target="../queryTables/queryTable1488.xml"/><Relationship Id="rId1612" Type="http://schemas.openxmlformats.org/officeDocument/2006/relationships/queryTable" Target="../queryTables/queryTable1611.xml"/><Relationship Id="rId1696" Type="http://schemas.openxmlformats.org/officeDocument/2006/relationships/queryTable" Target="../queryTables/queryTable1695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1251" Type="http://schemas.openxmlformats.org/officeDocument/2006/relationships/queryTable" Target="../queryTables/queryTable1250.xml"/><Relationship Id="rId1349" Type="http://schemas.openxmlformats.org/officeDocument/2006/relationships/queryTable" Target="../queryTables/queryTable1348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1556" Type="http://schemas.openxmlformats.org/officeDocument/2006/relationships/queryTable" Target="../queryTables/queryTable1555.xml"/><Relationship Id="rId1763" Type="http://schemas.openxmlformats.org/officeDocument/2006/relationships/queryTable" Target="../queryTables/queryTable1762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1195" Type="http://schemas.openxmlformats.org/officeDocument/2006/relationships/queryTable" Target="../queryTables/queryTable1194.xml"/><Relationship Id="rId1209" Type="http://schemas.openxmlformats.org/officeDocument/2006/relationships/queryTable" Target="../queryTables/queryTable1208.xml"/><Relationship Id="rId1416" Type="http://schemas.openxmlformats.org/officeDocument/2006/relationships/queryTable" Target="../queryTables/queryTable1415.xml"/><Relationship Id="rId1623" Type="http://schemas.openxmlformats.org/officeDocument/2006/relationships/queryTable" Target="../queryTables/queryTable1622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1262" Type="http://schemas.openxmlformats.org/officeDocument/2006/relationships/queryTable" Target="../queryTables/queryTable1261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1122" Type="http://schemas.openxmlformats.org/officeDocument/2006/relationships/queryTable" Target="../queryTables/queryTable1121.xml"/><Relationship Id="rId1567" Type="http://schemas.openxmlformats.org/officeDocument/2006/relationships/queryTable" Target="../queryTables/queryTable1566.xml"/><Relationship Id="rId1774" Type="http://schemas.openxmlformats.org/officeDocument/2006/relationships/queryTable" Target="../queryTables/queryTable1773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1427" Type="http://schemas.openxmlformats.org/officeDocument/2006/relationships/queryTable" Target="../queryTables/queryTable1426.xml"/><Relationship Id="rId1634" Type="http://schemas.openxmlformats.org/officeDocument/2006/relationships/queryTable" Target="../queryTables/queryTable1633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1273" Type="http://schemas.openxmlformats.org/officeDocument/2006/relationships/queryTable" Target="../queryTables/queryTable1272.xml"/><Relationship Id="rId1480" Type="http://schemas.openxmlformats.org/officeDocument/2006/relationships/queryTable" Target="../queryTables/queryTable1479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1133" Type="http://schemas.openxmlformats.org/officeDocument/2006/relationships/queryTable" Target="../queryTables/queryTable1132.xml"/><Relationship Id="rId1578" Type="http://schemas.openxmlformats.org/officeDocument/2006/relationships/queryTable" Target="../queryTables/queryTable1577.xml"/><Relationship Id="rId1701" Type="http://schemas.openxmlformats.org/officeDocument/2006/relationships/queryTable" Target="../queryTables/queryTable1700.xml"/><Relationship Id="rId1785" Type="http://schemas.openxmlformats.org/officeDocument/2006/relationships/queryTable" Target="../queryTables/queryTable1784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1340" Type="http://schemas.openxmlformats.org/officeDocument/2006/relationships/queryTable" Target="../queryTables/queryTable1339.xml"/><Relationship Id="rId1438" Type="http://schemas.openxmlformats.org/officeDocument/2006/relationships/queryTable" Target="../queryTables/queryTable1437.xml"/><Relationship Id="rId1645" Type="http://schemas.openxmlformats.org/officeDocument/2006/relationships/queryTable" Target="../queryTables/queryTable1644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1200" Type="http://schemas.openxmlformats.org/officeDocument/2006/relationships/queryTable" Target="../queryTables/queryTable1199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1284" Type="http://schemas.openxmlformats.org/officeDocument/2006/relationships/queryTable" Target="../queryTables/queryTable1283.xml"/><Relationship Id="rId1491" Type="http://schemas.openxmlformats.org/officeDocument/2006/relationships/queryTable" Target="../queryTables/queryTable1490.xml"/><Relationship Id="rId1505" Type="http://schemas.openxmlformats.org/officeDocument/2006/relationships/queryTable" Target="../queryTables/queryTable1504.xml"/><Relationship Id="rId1589" Type="http://schemas.openxmlformats.org/officeDocument/2006/relationships/queryTable" Target="../queryTables/queryTable1588.xml"/><Relationship Id="rId1712" Type="http://schemas.openxmlformats.org/officeDocument/2006/relationships/queryTable" Target="../queryTables/queryTable1711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1144" Type="http://schemas.openxmlformats.org/officeDocument/2006/relationships/queryTable" Target="../queryTables/queryTable1143.xml"/><Relationship Id="rId1351" Type="http://schemas.openxmlformats.org/officeDocument/2006/relationships/queryTable" Target="../queryTables/queryTable1350.xml"/><Relationship Id="rId1449" Type="http://schemas.openxmlformats.org/officeDocument/2006/relationships/queryTable" Target="../queryTables/queryTable1448.xml"/><Relationship Id="rId1796" Type="http://schemas.openxmlformats.org/officeDocument/2006/relationships/queryTable" Target="../queryTables/queryTable1795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1211" Type="http://schemas.openxmlformats.org/officeDocument/2006/relationships/queryTable" Target="../queryTables/queryTable1210.xml"/><Relationship Id="rId1656" Type="http://schemas.openxmlformats.org/officeDocument/2006/relationships/queryTable" Target="../queryTables/queryTable1655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295" Type="http://schemas.openxmlformats.org/officeDocument/2006/relationships/queryTable" Target="../queryTables/queryTable1294.xml"/><Relationship Id="rId1309" Type="http://schemas.openxmlformats.org/officeDocument/2006/relationships/queryTable" Target="../queryTables/queryTable1308.xml"/><Relationship Id="rId1516" Type="http://schemas.openxmlformats.org/officeDocument/2006/relationships/queryTable" Target="../queryTables/queryTable1515.xml"/><Relationship Id="rId1723" Type="http://schemas.openxmlformats.org/officeDocument/2006/relationships/queryTable" Target="../queryTables/queryTable1722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1155" Type="http://schemas.openxmlformats.org/officeDocument/2006/relationships/queryTable" Target="../queryTables/queryTable1154.xml"/><Relationship Id="rId1362" Type="http://schemas.openxmlformats.org/officeDocument/2006/relationships/queryTable" Target="../queryTables/queryTable136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1222" Type="http://schemas.openxmlformats.org/officeDocument/2006/relationships/queryTable" Target="../queryTables/queryTable1221.xml"/><Relationship Id="rId1667" Type="http://schemas.openxmlformats.org/officeDocument/2006/relationships/queryTable" Target="../queryTables/queryTable1666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1527" Type="http://schemas.openxmlformats.org/officeDocument/2006/relationships/queryTable" Target="../queryTables/queryTable1526.xml"/><Relationship Id="rId1734" Type="http://schemas.openxmlformats.org/officeDocument/2006/relationships/queryTable" Target="../queryTables/queryTable1733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166" Type="http://schemas.openxmlformats.org/officeDocument/2006/relationships/queryTable" Target="../queryTables/queryTable1165.xml"/><Relationship Id="rId1373" Type="http://schemas.openxmlformats.org/officeDocument/2006/relationships/queryTable" Target="../queryTables/queryTable1372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1580" Type="http://schemas.openxmlformats.org/officeDocument/2006/relationships/queryTable" Target="../queryTables/queryTable1579.xml"/><Relationship Id="rId1678" Type="http://schemas.openxmlformats.org/officeDocument/2006/relationships/queryTable" Target="../queryTables/queryTable1677.xml"/><Relationship Id="rId1801" Type="http://schemas.openxmlformats.org/officeDocument/2006/relationships/queryTable" Target="../queryTables/queryTable1800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1233" Type="http://schemas.openxmlformats.org/officeDocument/2006/relationships/queryTable" Target="../queryTables/queryTable1232.xml"/><Relationship Id="rId1440" Type="http://schemas.openxmlformats.org/officeDocument/2006/relationships/queryTable" Target="../queryTables/queryTable1439.xml"/><Relationship Id="rId1538" Type="http://schemas.openxmlformats.org/officeDocument/2006/relationships/queryTable" Target="../queryTables/queryTable153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1177" Type="http://schemas.openxmlformats.org/officeDocument/2006/relationships/queryTable" Target="../queryTables/queryTable1176.xml"/><Relationship Id="rId1300" Type="http://schemas.openxmlformats.org/officeDocument/2006/relationships/queryTable" Target="../queryTables/queryTable1299.xml"/><Relationship Id="rId1745" Type="http://schemas.openxmlformats.org/officeDocument/2006/relationships/queryTable" Target="../queryTables/queryTable1744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1384" Type="http://schemas.openxmlformats.org/officeDocument/2006/relationships/queryTable" Target="../queryTables/queryTable1383.xml"/><Relationship Id="rId1591" Type="http://schemas.openxmlformats.org/officeDocument/2006/relationships/queryTable" Target="../queryTables/queryTable1590.xml"/><Relationship Id="rId1605" Type="http://schemas.openxmlformats.org/officeDocument/2006/relationships/queryTable" Target="../queryTables/queryTable1604.xml"/><Relationship Id="rId1689" Type="http://schemas.openxmlformats.org/officeDocument/2006/relationships/queryTable" Target="../queryTables/queryTable1688.xml"/><Relationship Id="rId1812" Type="http://schemas.openxmlformats.org/officeDocument/2006/relationships/queryTable" Target="../queryTables/queryTable1811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1244" Type="http://schemas.openxmlformats.org/officeDocument/2006/relationships/queryTable" Target="../queryTables/queryTable1243.xml"/><Relationship Id="rId1451" Type="http://schemas.openxmlformats.org/officeDocument/2006/relationships/queryTable" Target="../queryTables/queryTable1450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1311" Type="http://schemas.openxmlformats.org/officeDocument/2006/relationships/queryTable" Target="../queryTables/queryTable1310.xml"/><Relationship Id="rId1549" Type="http://schemas.openxmlformats.org/officeDocument/2006/relationships/queryTable" Target="../queryTables/queryTable1548.xml"/><Relationship Id="rId1756" Type="http://schemas.openxmlformats.org/officeDocument/2006/relationships/queryTable" Target="../queryTables/queryTable1755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188" Type="http://schemas.openxmlformats.org/officeDocument/2006/relationships/queryTable" Target="../queryTables/queryTable1187.xml"/><Relationship Id="rId1395" Type="http://schemas.openxmlformats.org/officeDocument/2006/relationships/queryTable" Target="../queryTables/queryTable1394.xml"/><Relationship Id="rId1409" Type="http://schemas.openxmlformats.org/officeDocument/2006/relationships/queryTable" Target="../queryTables/queryTable1408.xml"/><Relationship Id="rId1616" Type="http://schemas.openxmlformats.org/officeDocument/2006/relationships/queryTable" Target="../queryTables/queryTable1615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1255" Type="http://schemas.openxmlformats.org/officeDocument/2006/relationships/queryTable" Target="../queryTables/queryTable1254.xml"/><Relationship Id="rId1462" Type="http://schemas.openxmlformats.org/officeDocument/2006/relationships/queryTable" Target="../queryTables/queryTable1461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1115" Type="http://schemas.openxmlformats.org/officeDocument/2006/relationships/queryTable" Target="../queryTables/queryTable1114.xml"/><Relationship Id="rId1322" Type="http://schemas.openxmlformats.org/officeDocument/2006/relationships/queryTable" Target="../queryTables/queryTable1321.xml"/><Relationship Id="rId1767" Type="http://schemas.openxmlformats.org/officeDocument/2006/relationships/queryTable" Target="../queryTables/queryTable1766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1199" Type="http://schemas.openxmlformats.org/officeDocument/2006/relationships/queryTable" Target="../queryTables/queryTable1198.xml"/><Relationship Id="rId1627" Type="http://schemas.openxmlformats.org/officeDocument/2006/relationships/queryTable" Target="../queryTables/queryTable1626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1266" Type="http://schemas.openxmlformats.org/officeDocument/2006/relationships/queryTable" Target="../queryTables/queryTable1265.xml"/><Relationship Id="rId1473" Type="http://schemas.openxmlformats.org/officeDocument/2006/relationships/queryTable" Target="../queryTables/queryTable1472.xml"/><Relationship Id="rId843" Type="http://schemas.openxmlformats.org/officeDocument/2006/relationships/queryTable" Target="../queryTables/queryTable842.xml"/><Relationship Id="rId1126" Type="http://schemas.openxmlformats.org/officeDocument/2006/relationships/queryTable" Target="../queryTables/queryTable1125.xml"/><Relationship Id="rId1680" Type="http://schemas.openxmlformats.org/officeDocument/2006/relationships/queryTable" Target="../queryTables/queryTable1679.xml"/><Relationship Id="rId1778" Type="http://schemas.openxmlformats.org/officeDocument/2006/relationships/queryTable" Target="../queryTables/queryTable1777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33" Type="http://schemas.openxmlformats.org/officeDocument/2006/relationships/queryTable" Target="../queryTables/queryTable1332.xml"/><Relationship Id="rId1540" Type="http://schemas.openxmlformats.org/officeDocument/2006/relationships/queryTable" Target="../queryTables/queryTable1539.xml"/><Relationship Id="rId1638" Type="http://schemas.openxmlformats.org/officeDocument/2006/relationships/queryTable" Target="../queryTables/queryTable1637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1400" Type="http://schemas.openxmlformats.org/officeDocument/2006/relationships/queryTable" Target="../queryTables/queryTable1399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1277" Type="http://schemas.openxmlformats.org/officeDocument/2006/relationships/queryTable" Target="../queryTables/queryTable1276.xml"/><Relationship Id="rId1484" Type="http://schemas.openxmlformats.org/officeDocument/2006/relationships/queryTable" Target="../queryTables/queryTable1483.xml"/><Relationship Id="rId1691" Type="http://schemas.openxmlformats.org/officeDocument/2006/relationships/queryTable" Target="../queryTables/queryTable1690.xml"/><Relationship Id="rId1705" Type="http://schemas.openxmlformats.org/officeDocument/2006/relationships/queryTable" Target="../queryTables/queryTable1704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1137" Type="http://schemas.openxmlformats.org/officeDocument/2006/relationships/queryTable" Target="../queryTables/queryTable1136.xml"/><Relationship Id="rId1344" Type="http://schemas.openxmlformats.org/officeDocument/2006/relationships/queryTable" Target="../queryTables/queryTable1343.xml"/><Relationship Id="rId1551" Type="http://schemas.openxmlformats.org/officeDocument/2006/relationships/queryTable" Target="../queryTables/queryTable1550.xml"/><Relationship Id="rId1789" Type="http://schemas.openxmlformats.org/officeDocument/2006/relationships/queryTable" Target="../queryTables/queryTable1788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1190" Type="http://schemas.openxmlformats.org/officeDocument/2006/relationships/queryTable" Target="../queryTables/queryTable1189.xml"/><Relationship Id="rId1204" Type="http://schemas.openxmlformats.org/officeDocument/2006/relationships/queryTable" Target="../queryTables/queryTable1203.xml"/><Relationship Id="rId1411" Type="http://schemas.openxmlformats.org/officeDocument/2006/relationships/queryTable" Target="../queryTables/queryTable1410.xml"/><Relationship Id="rId1649" Type="http://schemas.openxmlformats.org/officeDocument/2006/relationships/queryTable" Target="../queryTables/queryTable1648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1288" Type="http://schemas.openxmlformats.org/officeDocument/2006/relationships/queryTable" Target="../queryTables/queryTable1287.xml"/><Relationship Id="rId1495" Type="http://schemas.openxmlformats.org/officeDocument/2006/relationships/queryTable" Target="../queryTables/queryTable1494.xml"/><Relationship Id="rId1509" Type="http://schemas.openxmlformats.org/officeDocument/2006/relationships/queryTable" Target="../queryTables/queryTable1508.xml"/><Relationship Id="rId1716" Type="http://schemas.openxmlformats.org/officeDocument/2006/relationships/queryTable" Target="../queryTables/queryTable1715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148" Type="http://schemas.openxmlformats.org/officeDocument/2006/relationships/queryTable" Target="../queryTables/queryTable1147.xml"/><Relationship Id="rId1355" Type="http://schemas.openxmlformats.org/officeDocument/2006/relationships/queryTable" Target="../queryTables/queryTable1354.xml"/><Relationship Id="rId1562" Type="http://schemas.openxmlformats.org/officeDocument/2006/relationships/queryTable" Target="../queryTables/queryTable156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1215" Type="http://schemas.openxmlformats.org/officeDocument/2006/relationships/queryTable" Target="../queryTables/queryTable1214.xml"/><Relationship Id="rId1422" Type="http://schemas.openxmlformats.org/officeDocument/2006/relationships/queryTable" Target="../queryTables/queryTable1421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299" Type="http://schemas.openxmlformats.org/officeDocument/2006/relationships/queryTable" Target="../queryTables/queryTable1298.xml"/><Relationship Id="rId1727" Type="http://schemas.openxmlformats.org/officeDocument/2006/relationships/queryTable" Target="../queryTables/queryTable1726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159" Type="http://schemas.openxmlformats.org/officeDocument/2006/relationships/queryTable" Target="../queryTables/queryTable1158.xml"/><Relationship Id="rId1366" Type="http://schemas.openxmlformats.org/officeDocument/2006/relationships/queryTable" Target="../queryTables/queryTable1365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1573" Type="http://schemas.openxmlformats.org/officeDocument/2006/relationships/queryTable" Target="../queryTables/queryTable1572.xml"/><Relationship Id="rId1780" Type="http://schemas.openxmlformats.org/officeDocument/2006/relationships/queryTable" Target="../queryTables/queryTable1779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1226" Type="http://schemas.openxmlformats.org/officeDocument/2006/relationships/queryTable" Target="../queryTables/queryTable1225.xml"/><Relationship Id="rId1433" Type="http://schemas.openxmlformats.org/officeDocument/2006/relationships/queryTable" Target="../queryTables/queryTable1432.xml"/><Relationship Id="rId1640" Type="http://schemas.openxmlformats.org/officeDocument/2006/relationships/queryTable" Target="../queryTables/queryTable1639.xml"/><Relationship Id="rId1738" Type="http://schemas.openxmlformats.org/officeDocument/2006/relationships/queryTable" Target="../queryTables/queryTable1737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1500" Type="http://schemas.openxmlformats.org/officeDocument/2006/relationships/queryTable" Target="../queryTables/queryTable1499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1377" Type="http://schemas.openxmlformats.org/officeDocument/2006/relationships/queryTable" Target="../queryTables/queryTable1376.xml"/><Relationship Id="rId1584" Type="http://schemas.openxmlformats.org/officeDocument/2006/relationships/queryTable" Target="../queryTables/queryTable1583.xml"/><Relationship Id="rId1791" Type="http://schemas.openxmlformats.org/officeDocument/2006/relationships/queryTable" Target="../queryTables/queryTable1790.xml"/><Relationship Id="rId1805" Type="http://schemas.openxmlformats.org/officeDocument/2006/relationships/queryTable" Target="../queryTables/queryTable1804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1237" Type="http://schemas.openxmlformats.org/officeDocument/2006/relationships/queryTable" Target="../queryTables/queryTable1236.xml"/><Relationship Id="rId1444" Type="http://schemas.openxmlformats.org/officeDocument/2006/relationships/queryTable" Target="../queryTables/queryTable1443.xml"/><Relationship Id="rId1651" Type="http://schemas.openxmlformats.org/officeDocument/2006/relationships/queryTable" Target="../queryTables/queryTable1650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290" Type="http://schemas.openxmlformats.org/officeDocument/2006/relationships/queryTable" Target="../queryTables/queryTable1289.xml"/><Relationship Id="rId1304" Type="http://schemas.openxmlformats.org/officeDocument/2006/relationships/queryTable" Target="../queryTables/queryTable1303.xml"/><Relationship Id="rId1511" Type="http://schemas.openxmlformats.org/officeDocument/2006/relationships/queryTable" Target="../queryTables/queryTable1510.xml"/><Relationship Id="rId1749" Type="http://schemas.openxmlformats.org/officeDocument/2006/relationships/queryTable" Target="../queryTables/queryTable1748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150" Type="http://schemas.openxmlformats.org/officeDocument/2006/relationships/queryTable" Target="../queryTables/queryTable1149.xml"/><Relationship Id="rId1388" Type="http://schemas.openxmlformats.org/officeDocument/2006/relationships/queryTable" Target="../queryTables/queryTable1387.xml"/><Relationship Id="rId1595" Type="http://schemas.openxmlformats.org/officeDocument/2006/relationships/queryTable" Target="../queryTables/queryTable1594.xml"/><Relationship Id="rId1609" Type="http://schemas.openxmlformats.org/officeDocument/2006/relationships/queryTable" Target="../queryTables/queryTable1608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1248" Type="http://schemas.openxmlformats.org/officeDocument/2006/relationships/queryTable" Target="../queryTables/queryTable1247.xml"/><Relationship Id="rId1455" Type="http://schemas.openxmlformats.org/officeDocument/2006/relationships/queryTable" Target="../queryTables/queryTable1454.xml"/><Relationship Id="rId1662" Type="http://schemas.openxmlformats.org/officeDocument/2006/relationships/queryTable" Target="../queryTables/queryTable1661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315" Type="http://schemas.openxmlformats.org/officeDocument/2006/relationships/queryTable" Target="../queryTables/queryTable1314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1399" Type="http://schemas.openxmlformats.org/officeDocument/2006/relationships/queryTable" Target="../queryTables/queryTable1398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1161" Type="http://schemas.openxmlformats.org/officeDocument/2006/relationships/queryTable" Target="../queryTables/queryTable1160.xml"/><Relationship Id="rId1259" Type="http://schemas.openxmlformats.org/officeDocument/2006/relationships/queryTable" Target="../queryTables/queryTable1258.xml"/><Relationship Id="rId1466" Type="http://schemas.openxmlformats.org/officeDocument/2006/relationships/queryTable" Target="../queryTables/queryTable1465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1119" Type="http://schemas.openxmlformats.org/officeDocument/2006/relationships/queryTable" Target="../queryTables/queryTable1118.xml"/><Relationship Id="rId1673" Type="http://schemas.openxmlformats.org/officeDocument/2006/relationships/queryTable" Target="../queryTables/queryTable1672.xml"/><Relationship Id="rId903" Type="http://schemas.openxmlformats.org/officeDocument/2006/relationships/queryTable" Target="../queryTables/queryTable902.xml"/><Relationship Id="rId1326" Type="http://schemas.openxmlformats.org/officeDocument/2006/relationships/queryTable" Target="../queryTables/queryTable1325.xml"/><Relationship Id="rId1533" Type="http://schemas.openxmlformats.org/officeDocument/2006/relationships/queryTable" Target="../queryTables/queryTable1532.xml"/><Relationship Id="rId1740" Type="http://schemas.openxmlformats.org/officeDocument/2006/relationships/queryTable" Target="../queryTables/queryTable1739.xml"/><Relationship Id="rId32" Type="http://schemas.openxmlformats.org/officeDocument/2006/relationships/queryTable" Target="../queryTables/queryTable31.xml"/><Relationship Id="rId1600" Type="http://schemas.openxmlformats.org/officeDocument/2006/relationships/queryTable" Target="../queryTables/queryTable1599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1183" Type="http://schemas.openxmlformats.org/officeDocument/2006/relationships/queryTable" Target="../queryTables/queryTable1182.xml"/><Relationship Id="rId1390" Type="http://schemas.openxmlformats.org/officeDocument/2006/relationships/queryTable" Target="../queryTables/queryTable1389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1488" Type="http://schemas.openxmlformats.org/officeDocument/2006/relationships/queryTable" Target="../queryTables/queryTable1487.xml"/><Relationship Id="rId1695" Type="http://schemas.openxmlformats.org/officeDocument/2006/relationships/queryTable" Target="../queryTables/queryTable1694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250" Type="http://schemas.openxmlformats.org/officeDocument/2006/relationships/queryTable" Target="../queryTables/queryTable1249.xml"/><Relationship Id="rId1348" Type="http://schemas.openxmlformats.org/officeDocument/2006/relationships/queryTable" Target="../queryTables/queryTable1347.xml"/><Relationship Id="rId1555" Type="http://schemas.openxmlformats.org/officeDocument/2006/relationships/queryTable" Target="../queryTables/queryTable1554.xml"/><Relationship Id="rId1762" Type="http://schemas.openxmlformats.org/officeDocument/2006/relationships/queryTable" Target="../queryTables/queryTable1761.xml"/><Relationship Id="rId1110" Type="http://schemas.openxmlformats.org/officeDocument/2006/relationships/queryTable" Target="../queryTables/queryTable1109.xml"/><Relationship Id="rId1208" Type="http://schemas.openxmlformats.org/officeDocument/2006/relationships/queryTable" Target="../queryTables/queryTable1207.xml"/><Relationship Id="rId1415" Type="http://schemas.openxmlformats.org/officeDocument/2006/relationships/queryTable" Target="../queryTables/queryTable1414.xml"/><Relationship Id="rId54" Type="http://schemas.openxmlformats.org/officeDocument/2006/relationships/queryTable" Target="../queryTables/queryTable53.xml"/><Relationship Id="rId1622" Type="http://schemas.openxmlformats.org/officeDocument/2006/relationships/queryTable" Target="../queryTables/queryTable1621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1272" Type="http://schemas.openxmlformats.org/officeDocument/2006/relationships/queryTable" Target="../queryTables/queryTable1271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1132" Type="http://schemas.openxmlformats.org/officeDocument/2006/relationships/queryTable" Target="../queryTables/queryTable1131.xml"/><Relationship Id="rId1577" Type="http://schemas.openxmlformats.org/officeDocument/2006/relationships/queryTable" Target="../queryTables/queryTable1576.xml"/><Relationship Id="rId1784" Type="http://schemas.openxmlformats.org/officeDocument/2006/relationships/queryTable" Target="../queryTables/queryTable1783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1437" Type="http://schemas.openxmlformats.org/officeDocument/2006/relationships/queryTable" Target="../queryTables/queryTable1436.xml"/><Relationship Id="rId1644" Type="http://schemas.openxmlformats.org/officeDocument/2006/relationships/queryTable" Target="../queryTables/queryTable1643.xml"/><Relationship Id="rId1504" Type="http://schemas.openxmlformats.org/officeDocument/2006/relationships/queryTable" Target="../queryTables/queryTable1503.xml"/><Relationship Id="rId1711" Type="http://schemas.openxmlformats.org/officeDocument/2006/relationships/queryTable" Target="../queryTables/queryTable1710.xml"/><Relationship Id="rId292" Type="http://schemas.openxmlformats.org/officeDocument/2006/relationships/queryTable" Target="../queryTables/queryTable291.xml"/><Relationship Id="rId1809" Type="http://schemas.openxmlformats.org/officeDocument/2006/relationships/queryTable" Target="../queryTables/queryTable1808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Relationship Id="rId1294" Type="http://schemas.openxmlformats.org/officeDocument/2006/relationships/queryTable" Target="../queryTables/queryTable1293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599" Type="http://schemas.openxmlformats.org/officeDocument/2006/relationships/queryTable" Target="../queryTables/queryTable1598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1154" Type="http://schemas.openxmlformats.org/officeDocument/2006/relationships/queryTable" Target="../queryTables/queryTable1153.xml"/><Relationship Id="rId1361" Type="http://schemas.openxmlformats.org/officeDocument/2006/relationships/queryTable" Target="../queryTables/queryTable1360.xml"/><Relationship Id="rId1459" Type="http://schemas.openxmlformats.org/officeDocument/2006/relationships/queryTable" Target="../queryTables/queryTable1458.xml"/><Relationship Id="rId98" Type="http://schemas.openxmlformats.org/officeDocument/2006/relationships/queryTable" Target="../queryTables/queryTable97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1221" Type="http://schemas.openxmlformats.org/officeDocument/2006/relationships/queryTable" Target="../queryTables/queryTable1220.xml"/><Relationship Id="rId1666" Type="http://schemas.openxmlformats.org/officeDocument/2006/relationships/queryTable" Target="../queryTables/queryTable1665.xml"/><Relationship Id="rId1319" Type="http://schemas.openxmlformats.org/officeDocument/2006/relationships/queryTable" Target="../queryTables/queryTable1318.xml"/><Relationship Id="rId1526" Type="http://schemas.openxmlformats.org/officeDocument/2006/relationships/queryTable" Target="../queryTables/queryTable1525.xml"/><Relationship Id="rId1733" Type="http://schemas.openxmlformats.org/officeDocument/2006/relationships/queryTable" Target="../queryTables/queryTable1732.xml"/><Relationship Id="rId25" Type="http://schemas.openxmlformats.org/officeDocument/2006/relationships/queryTable" Target="../queryTables/queryTable24.xml"/><Relationship Id="rId1800" Type="http://schemas.openxmlformats.org/officeDocument/2006/relationships/queryTable" Target="../queryTables/queryTable1799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176" Type="http://schemas.openxmlformats.org/officeDocument/2006/relationships/queryTable" Target="../queryTables/queryTable1175.xml"/><Relationship Id="rId1383" Type="http://schemas.openxmlformats.org/officeDocument/2006/relationships/queryTable" Target="../queryTables/queryTable1382.xml"/><Relationship Id="rId101" Type="http://schemas.openxmlformats.org/officeDocument/2006/relationships/queryTable" Target="../queryTables/queryTable100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1243" Type="http://schemas.openxmlformats.org/officeDocument/2006/relationships/queryTable" Target="../queryTables/queryTable1242.xml"/><Relationship Id="rId1590" Type="http://schemas.openxmlformats.org/officeDocument/2006/relationships/queryTable" Target="../queryTables/queryTable1589.xml"/><Relationship Id="rId1688" Type="http://schemas.openxmlformats.org/officeDocument/2006/relationships/queryTable" Target="../queryTables/queryTable1687.xml"/><Relationship Id="rId613" Type="http://schemas.openxmlformats.org/officeDocument/2006/relationships/queryTable" Target="../queryTables/queryTable612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1450" Type="http://schemas.openxmlformats.org/officeDocument/2006/relationships/queryTable" Target="../queryTables/queryTable1449.xml"/><Relationship Id="rId1548" Type="http://schemas.openxmlformats.org/officeDocument/2006/relationships/queryTable" Target="../queryTables/queryTable1547.xml"/><Relationship Id="rId1755" Type="http://schemas.openxmlformats.org/officeDocument/2006/relationships/queryTable" Target="../queryTables/queryTable1754.xml"/><Relationship Id="rId1103" Type="http://schemas.openxmlformats.org/officeDocument/2006/relationships/queryTable" Target="../queryTables/queryTable1102.xml"/><Relationship Id="rId1310" Type="http://schemas.openxmlformats.org/officeDocument/2006/relationships/queryTable" Target="../queryTables/queryTable1309.xml"/><Relationship Id="rId1408" Type="http://schemas.openxmlformats.org/officeDocument/2006/relationships/queryTable" Target="../queryTables/queryTable1407.xml"/><Relationship Id="rId47" Type="http://schemas.openxmlformats.org/officeDocument/2006/relationships/queryTable" Target="../queryTables/queryTable46.xml"/><Relationship Id="rId1615" Type="http://schemas.openxmlformats.org/officeDocument/2006/relationships/queryTable" Target="../queryTables/queryTable1614.xml"/><Relationship Id="rId196" Type="http://schemas.openxmlformats.org/officeDocument/2006/relationships/queryTable" Target="../queryTables/queryTable195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1198" Type="http://schemas.openxmlformats.org/officeDocument/2006/relationships/queryTable" Target="../queryTables/queryTable1197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1265" Type="http://schemas.openxmlformats.org/officeDocument/2006/relationships/queryTable" Target="../queryTables/queryTable1264.xml"/><Relationship Id="rId1472" Type="http://schemas.openxmlformats.org/officeDocument/2006/relationships/queryTable" Target="../queryTables/queryTable1471.xml"/><Relationship Id="rId702" Type="http://schemas.openxmlformats.org/officeDocument/2006/relationships/queryTable" Target="../queryTables/queryTable701.xml"/><Relationship Id="rId1125" Type="http://schemas.openxmlformats.org/officeDocument/2006/relationships/queryTable" Target="../queryTables/queryTable1124.xml"/><Relationship Id="rId1332" Type="http://schemas.openxmlformats.org/officeDocument/2006/relationships/queryTable" Target="../queryTables/queryTable1331.xml"/><Relationship Id="rId1777" Type="http://schemas.openxmlformats.org/officeDocument/2006/relationships/queryTable" Target="../queryTables/queryTable1776.xml"/><Relationship Id="rId69" Type="http://schemas.openxmlformats.org/officeDocument/2006/relationships/queryTable" Target="../queryTables/queryTable68.xml"/><Relationship Id="rId1637" Type="http://schemas.openxmlformats.org/officeDocument/2006/relationships/queryTable" Target="../queryTables/queryTable1636.xml"/><Relationship Id="rId1704" Type="http://schemas.openxmlformats.org/officeDocument/2006/relationships/queryTable" Target="../queryTables/queryTable1703.xml"/><Relationship Id="rId285" Type="http://schemas.openxmlformats.org/officeDocument/2006/relationships/queryTable" Target="../queryTables/queryTable284.xml"/><Relationship Id="rId492" Type="http://schemas.openxmlformats.org/officeDocument/2006/relationships/queryTable" Target="../queryTables/queryTable491.xml"/><Relationship Id="rId797" Type="http://schemas.openxmlformats.org/officeDocument/2006/relationships/queryTable" Target="../queryTables/queryTable796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1287" Type="http://schemas.openxmlformats.org/officeDocument/2006/relationships/queryTable" Target="../queryTables/queryTable1286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1494" Type="http://schemas.openxmlformats.org/officeDocument/2006/relationships/queryTable" Target="../queryTables/queryTable1493.xml"/><Relationship Id="rId1799" Type="http://schemas.openxmlformats.org/officeDocument/2006/relationships/queryTable" Target="../queryTables/queryTable1798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1147" Type="http://schemas.openxmlformats.org/officeDocument/2006/relationships/queryTable" Target="../queryTables/queryTable1146.xml"/><Relationship Id="rId1354" Type="http://schemas.openxmlformats.org/officeDocument/2006/relationships/queryTable" Target="../queryTables/queryTable1353.xml"/><Relationship Id="rId1561" Type="http://schemas.openxmlformats.org/officeDocument/2006/relationships/queryTable" Target="../queryTables/queryTable1560.xml"/><Relationship Id="rId60" Type="http://schemas.openxmlformats.org/officeDocument/2006/relationships/queryTable" Target="../queryTables/queryTable59.xml"/><Relationship Id="rId1007" Type="http://schemas.openxmlformats.org/officeDocument/2006/relationships/queryTable" Target="../queryTables/queryTable1006.xml"/><Relationship Id="rId1214" Type="http://schemas.openxmlformats.org/officeDocument/2006/relationships/queryTable" Target="../queryTables/queryTable1213.xml"/><Relationship Id="rId1421" Type="http://schemas.openxmlformats.org/officeDocument/2006/relationships/queryTable" Target="../queryTables/queryTable1420.xml"/><Relationship Id="rId1659" Type="http://schemas.openxmlformats.org/officeDocument/2006/relationships/queryTable" Target="../queryTables/queryTable1658.xml"/><Relationship Id="rId1519" Type="http://schemas.openxmlformats.org/officeDocument/2006/relationships/queryTable" Target="../queryTables/queryTable1518.xml"/><Relationship Id="rId1726" Type="http://schemas.openxmlformats.org/officeDocument/2006/relationships/queryTable" Target="../queryTables/queryTable1725.xml"/><Relationship Id="rId18" Type="http://schemas.openxmlformats.org/officeDocument/2006/relationships/queryTable" Target="../queryTables/queryTable17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169" Type="http://schemas.openxmlformats.org/officeDocument/2006/relationships/queryTable" Target="../queryTables/queryTable1168.xml"/><Relationship Id="rId1376" Type="http://schemas.openxmlformats.org/officeDocument/2006/relationships/queryTable" Target="../queryTables/queryTable1375.xml"/><Relationship Id="rId1583" Type="http://schemas.openxmlformats.org/officeDocument/2006/relationships/queryTable" Target="../queryTables/queryTable1582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1236" Type="http://schemas.openxmlformats.org/officeDocument/2006/relationships/queryTable" Target="../queryTables/queryTable1235.xml"/><Relationship Id="rId1790" Type="http://schemas.openxmlformats.org/officeDocument/2006/relationships/queryTable" Target="../queryTables/queryTable1789.xml"/><Relationship Id="rId82" Type="http://schemas.openxmlformats.org/officeDocument/2006/relationships/queryTable" Target="../queryTables/queryTable8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1443" Type="http://schemas.openxmlformats.org/officeDocument/2006/relationships/queryTable" Target="../queryTables/queryTable1442.xml"/><Relationship Id="rId1650" Type="http://schemas.openxmlformats.org/officeDocument/2006/relationships/queryTable" Target="../queryTables/queryTable1649.xml"/><Relationship Id="rId1748" Type="http://schemas.openxmlformats.org/officeDocument/2006/relationships/queryTable" Target="../queryTables/queryTable1747.xml"/><Relationship Id="rId1303" Type="http://schemas.openxmlformats.org/officeDocument/2006/relationships/queryTable" Target="../queryTables/queryTable1302.xml"/><Relationship Id="rId1510" Type="http://schemas.openxmlformats.org/officeDocument/2006/relationships/queryTable" Target="../queryTables/queryTable1509.xml"/><Relationship Id="rId1608" Type="http://schemas.openxmlformats.org/officeDocument/2006/relationships/queryTable" Target="../queryTables/queryTable1607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1160" Type="http://schemas.openxmlformats.org/officeDocument/2006/relationships/queryTable" Target="../queryTables/queryTable1159.xml"/><Relationship Id="rId1398" Type="http://schemas.openxmlformats.org/officeDocument/2006/relationships/queryTable" Target="../queryTables/queryTable1397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1258" Type="http://schemas.openxmlformats.org/officeDocument/2006/relationships/queryTable" Target="../queryTables/queryTable1257.xml"/><Relationship Id="rId1465" Type="http://schemas.openxmlformats.org/officeDocument/2006/relationships/queryTable" Target="../queryTables/queryTable1464.xml"/><Relationship Id="rId1672" Type="http://schemas.openxmlformats.org/officeDocument/2006/relationships/queryTable" Target="../queryTables/queryTable1671.xml"/><Relationship Id="rId1020" Type="http://schemas.openxmlformats.org/officeDocument/2006/relationships/queryTable" Target="../queryTables/queryTable1019.xml"/><Relationship Id="rId1118" Type="http://schemas.openxmlformats.org/officeDocument/2006/relationships/queryTable" Target="../queryTables/queryTable1117.xml"/><Relationship Id="rId1325" Type="http://schemas.openxmlformats.org/officeDocument/2006/relationships/queryTable" Target="../queryTables/queryTable1324.xml"/><Relationship Id="rId1532" Type="http://schemas.openxmlformats.org/officeDocument/2006/relationships/queryTable" Target="../queryTables/queryTable1531.xml"/><Relationship Id="rId902" Type="http://schemas.openxmlformats.org/officeDocument/2006/relationships/queryTable" Target="../queryTables/queryTable901.xml"/><Relationship Id="rId31" Type="http://schemas.openxmlformats.org/officeDocument/2006/relationships/queryTable" Target="../queryTables/queryTable30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182" Type="http://schemas.openxmlformats.org/officeDocument/2006/relationships/queryTable" Target="../queryTables/queryTable1181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1487" Type="http://schemas.openxmlformats.org/officeDocument/2006/relationships/queryTable" Target="../queryTables/queryTable1486.xml"/><Relationship Id="rId1694" Type="http://schemas.openxmlformats.org/officeDocument/2006/relationships/queryTable" Target="../queryTables/queryTable1693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1347" Type="http://schemas.openxmlformats.org/officeDocument/2006/relationships/queryTable" Target="../queryTables/queryTable1346.xml"/><Relationship Id="rId1554" Type="http://schemas.openxmlformats.org/officeDocument/2006/relationships/queryTable" Target="../queryTables/queryTable1553.xml"/><Relationship Id="rId1761" Type="http://schemas.openxmlformats.org/officeDocument/2006/relationships/queryTable" Target="../queryTables/queryTable1760.xml"/><Relationship Id="rId53" Type="http://schemas.openxmlformats.org/officeDocument/2006/relationships/queryTable" Target="../queryTables/queryTable52.xml"/><Relationship Id="rId1207" Type="http://schemas.openxmlformats.org/officeDocument/2006/relationships/queryTable" Target="../queryTables/queryTable1206.xml"/><Relationship Id="rId1414" Type="http://schemas.openxmlformats.org/officeDocument/2006/relationships/queryTable" Target="../queryTables/queryTable1413.xml"/><Relationship Id="rId1621" Type="http://schemas.openxmlformats.org/officeDocument/2006/relationships/queryTable" Target="../queryTables/queryTable1620.xml"/><Relationship Id="rId1719" Type="http://schemas.openxmlformats.org/officeDocument/2006/relationships/queryTable" Target="../queryTables/queryTable1718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1271" Type="http://schemas.openxmlformats.org/officeDocument/2006/relationships/queryTable" Target="../queryTables/queryTable1270.xml"/><Relationship Id="rId1369" Type="http://schemas.openxmlformats.org/officeDocument/2006/relationships/queryTable" Target="../queryTables/queryTable1368.xml"/><Relationship Id="rId1576" Type="http://schemas.openxmlformats.org/officeDocument/2006/relationships/queryTable" Target="../queryTables/queryTable1575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1131" Type="http://schemas.openxmlformats.org/officeDocument/2006/relationships/queryTable" Target="../queryTables/queryTable1130.xml"/><Relationship Id="rId1229" Type="http://schemas.openxmlformats.org/officeDocument/2006/relationships/queryTable" Target="../queryTables/queryTable1228.xml"/><Relationship Id="rId1783" Type="http://schemas.openxmlformats.org/officeDocument/2006/relationships/queryTable" Target="../queryTables/queryTable1782.xml"/><Relationship Id="rId75" Type="http://schemas.openxmlformats.org/officeDocument/2006/relationships/queryTable" Target="../queryTables/queryTable74.xml"/><Relationship Id="rId806" Type="http://schemas.openxmlformats.org/officeDocument/2006/relationships/queryTable" Target="../queryTables/queryTable805.xml"/><Relationship Id="rId1436" Type="http://schemas.openxmlformats.org/officeDocument/2006/relationships/queryTable" Target="../queryTables/queryTable1435.xml"/><Relationship Id="rId1643" Type="http://schemas.openxmlformats.org/officeDocument/2006/relationships/queryTable" Target="../queryTables/queryTable1642.xml"/><Relationship Id="rId1503" Type="http://schemas.openxmlformats.org/officeDocument/2006/relationships/queryTable" Target="../queryTables/queryTable1502.xml"/><Relationship Id="rId1710" Type="http://schemas.openxmlformats.org/officeDocument/2006/relationships/queryTable" Target="../queryTables/queryTable1709.xml"/><Relationship Id="rId291" Type="http://schemas.openxmlformats.org/officeDocument/2006/relationships/queryTable" Target="../queryTables/queryTable290.xml"/><Relationship Id="rId1808" Type="http://schemas.openxmlformats.org/officeDocument/2006/relationships/queryTable" Target="../queryTables/queryTable1807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293" Type="http://schemas.openxmlformats.org/officeDocument/2006/relationships/queryTable" Target="../queryTables/queryTable129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1153" Type="http://schemas.openxmlformats.org/officeDocument/2006/relationships/queryTable" Target="../queryTables/queryTable1152.xml"/><Relationship Id="rId1598" Type="http://schemas.openxmlformats.org/officeDocument/2006/relationships/queryTable" Target="../queryTables/queryTable159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360" Type="http://schemas.openxmlformats.org/officeDocument/2006/relationships/queryTable" Target="../queryTables/queryTable1359.xml"/><Relationship Id="rId1458" Type="http://schemas.openxmlformats.org/officeDocument/2006/relationships/queryTable" Target="../queryTables/queryTable1457.xml"/><Relationship Id="rId1665" Type="http://schemas.openxmlformats.org/officeDocument/2006/relationships/queryTable" Target="../queryTables/queryTable1664.xml"/><Relationship Id="rId1220" Type="http://schemas.openxmlformats.org/officeDocument/2006/relationships/queryTable" Target="../queryTables/queryTable1219.xml"/><Relationship Id="rId1318" Type="http://schemas.openxmlformats.org/officeDocument/2006/relationships/queryTable" Target="../queryTables/queryTable1317.xml"/><Relationship Id="rId1525" Type="http://schemas.openxmlformats.org/officeDocument/2006/relationships/queryTable" Target="../queryTables/queryTable1524.xml"/><Relationship Id="rId1732" Type="http://schemas.openxmlformats.org/officeDocument/2006/relationships/queryTable" Target="../queryTables/queryTable1731.xml"/><Relationship Id="rId24" Type="http://schemas.openxmlformats.org/officeDocument/2006/relationships/queryTable" Target="../queryTables/queryTable23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175" Type="http://schemas.openxmlformats.org/officeDocument/2006/relationships/queryTable" Target="../queryTables/queryTable1174.xml"/><Relationship Id="rId1382" Type="http://schemas.openxmlformats.org/officeDocument/2006/relationships/queryTable" Target="../queryTables/queryTable1381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1242" Type="http://schemas.openxmlformats.org/officeDocument/2006/relationships/queryTable" Target="../queryTables/queryTable1241.xml"/><Relationship Id="rId1687" Type="http://schemas.openxmlformats.org/officeDocument/2006/relationships/queryTable" Target="../queryTables/queryTable1686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1547" Type="http://schemas.openxmlformats.org/officeDocument/2006/relationships/queryTable" Target="../queryTables/queryTable1546.xml"/><Relationship Id="rId1754" Type="http://schemas.openxmlformats.org/officeDocument/2006/relationships/queryTable" Target="../queryTables/queryTable1753.xml"/><Relationship Id="rId46" Type="http://schemas.openxmlformats.org/officeDocument/2006/relationships/queryTable" Target="../queryTables/queryTable45.xml"/><Relationship Id="rId1407" Type="http://schemas.openxmlformats.org/officeDocument/2006/relationships/queryTable" Target="../queryTables/queryTable1406.xml"/><Relationship Id="rId1614" Type="http://schemas.openxmlformats.org/officeDocument/2006/relationships/queryTable" Target="../queryTables/queryTable1613.xml"/><Relationship Id="rId195" Type="http://schemas.openxmlformats.org/officeDocument/2006/relationships/queryTable" Target="../queryTables/queryTable194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197" Type="http://schemas.openxmlformats.org/officeDocument/2006/relationships/queryTable" Target="../queryTables/queryTable119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1264" Type="http://schemas.openxmlformats.org/officeDocument/2006/relationships/queryTable" Target="../queryTables/queryTable1263.xml"/><Relationship Id="rId1471" Type="http://schemas.openxmlformats.org/officeDocument/2006/relationships/queryTable" Target="../queryTables/queryTable1470.xml"/><Relationship Id="rId1569" Type="http://schemas.openxmlformats.org/officeDocument/2006/relationships/queryTable" Target="../queryTables/queryTable1568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1124" Type="http://schemas.openxmlformats.org/officeDocument/2006/relationships/queryTable" Target="../queryTables/queryTable1123.xml"/><Relationship Id="rId1331" Type="http://schemas.openxmlformats.org/officeDocument/2006/relationships/queryTable" Target="../queryTables/queryTable1330.xml"/><Relationship Id="rId1776" Type="http://schemas.openxmlformats.org/officeDocument/2006/relationships/queryTable" Target="../queryTables/queryTable1775.xml"/><Relationship Id="rId68" Type="http://schemas.openxmlformats.org/officeDocument/2006/relationships/queryTable" Target="../queryTables/queryTable67.xml"/><Relationship Id="rId1429" Type="http://schemas.openxmlformats.org/officeDocument/2006/relationships/queryTable" Target="../queryTables/queryTable1428.xml"/><Relationship Id="rId1636" Type="http://schemas.openxmlformats.org/officeDocument/2006/relationships/queryTable" Target="../queryTables/queryTable1635.xml"/><Relationship Id="rId1703" Type="http://schemas.openxmlformats.org/officeDocument/2006/relationships/queryTable" Target="../queryTables/queryTable1702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1286" Type="http://schemas.openxmlformats.org/officeDocument/2006/relationships/queryTable" Target="../queryTables/queryTable1285.xml"/><Relationship Id="rId1493" Type="http://schemas.openxmlformats.org/officeDocument/2006/relationships/queryTable" Target="../queryTables/queryTable1492.xml"/><Relationship Id="rId211" Type="http://schemas.openxmlformats.org/officeDocument/2006/relationships/queryTable" Target="../queryTables/queryTable210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1146" Type="http://schemas.openxmlformats.org/officeDocument/2006/relationships/queryTable" Target="../queryTables/queryTable1145.xml"/><Relationship Id="rId1798" Type="http://schemas.openxmlformats.org/officeDocument/2006/relationships/queryTable" Target="../queryTables/queryTable1797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353" Type="http://schemas.openxmlformats.org/officeDocument/2006/relationships/queryTable" Target="../queryTables/queryTable1352.xml"/><Relationship Id="rId1560" Type="http://schemas.openxmlformats.org/officeDocument/2006/relationships/queryTable" Target="../queryTables/queryTable1559.xml"/><Relationship Id="rId1658" Type="http://schemas.openxmlformats.org/officeDocument/2006/relationships/queryTable" Target="../queryTables/queryTable1657.xml"/><Relationship Id="rId1213" Type="http://schemas.openxmlformats.org/officeDocument/2006/relationships/queryTable" Target="../queryTables/queryTable1212.xml"/><Relationship Id="rId1420" Type="http://schemas.openxmlformats.org/officeDocument/2006/relationships/queryTable" Target="../queryTables/queryTable1419.xml"/><Relationship Id="rId1518" Type="http://schemas.openxmlformats.org/officeDocument/2006/relationships/queryTable" Target="../queryTables/queryTable1517.xml"/><Relationship Id="rId1725" Type="http://schemas.openxmlformats.org/officeDocument/2006/relationships/queryTable" Target="../queryTables/queryTable1724.xml"/><Relationship Id="rId17" Type="http://schemas.openxmlformats.org/officeDocument/2006/relationships/queryTable" Target="../queryTables/queryTable16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1" Type="http://schemas.openxmlformats.org/officeDocument/2006/relationships/printerSettings" Target="../printerSettings/printerSettings14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1168" Type="http://schemas.openxmlformats.org/officeDocument/2006/relationships/queryTable" Target="../queryTables/queryTable1167.xml"/><Relationship Id="rId1375" Type="http://schemas.openxmlformats.org/officeDocument/2006/relationships/queryTable" Target="../queryTables/queryTable1374.xml"/><Relationship Id="rId1582" Type="http://schemas.openxmlformats.org/officeDocument/2006/relationships/queryTable" Target="../queryTables/queryTable1581.xml"/><Relationship Id="rId81" Type="http://schemas.openxmlformats.org/officeDocument/2006/relationships/queryTable" Target="../queryTables/queryTable8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1235" Type="http://schemas.openxmlformats.org/officeDocument/2006/relationships/queryTable" Target="../queryTables/queryTable1234.xml"/><Relationship Id="rId1442" Type="http://schemas.openxmlformats.org/officeDocument/2006/relationships/queryTable" Target="../queryTables/queryTable1441.xml"/><Relationship Id="rId1302" Type="http://schemas.openxmlformats.org/officeDocument/2006/relationships/queryTable" Target="../queryTables/queryTable1301.xml"/><Relationship Id="rId1747" Type="http://schemas.openxmlformats.org/officeDocument/2006/relationships/queryTable" Target="../queryTables/queryTable1746.xml"/><Relationship Id="rId39" Type="http://schemas.openxmlformats.org/officeDocument/2006/relationships/queryTable" Target="../queryTables/queryTable38.xml"/><Relationship Id="rId1607" Type="http://schemas.openxmlformats.org/officeDocument/2006/relationships/queryTable" Target="../queryTables/queryTable1606.xml"/><Relationship Id="rId188" Type="http://schemas.openxmlformats.org/officeDocument/2006/relationships/queryTable" Target="../queryTables/queryTable187.xml"/><Relationship Id="rId395" Type="http://schemas.openxmlformats.org/officeDocument/2006/relationships/queryTable" Target="../queryTables/queryTable394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397" Type="http://schemas.openxmlformats.org/officeDocument/2006/relationships/queryTable" Target="../queryTables/queryTable1396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1257" Type="http://schemas.openxmlformats.org/officeDocument/2006/relationships/queryTable" Target="../queryTables/queryTable1256.xml"/><Relationship Id="rId1464" Type="http://schemas.openxmlformats.org/officeDocument/2006/relationships/queryTable" Target="../queryTables/queryTable1463.xml"/><Relationship Id="rId1671" Type="http://schemas.openxmlformats.org/officeDocument/2006/relationships/queryTable" Target="../queryTables/queryTable1670.xml"/><Relationship Id="rId901" Type="http://schemas.openxmlformats.org/officeDocument/2006/relationships/queryTable" Target="../queryTables/queryTable900.xml"/><Relationship Id="rId1117" Type="http://schemas.openxmlformats.org/officeDocument/2006/relationships/queryTable" Target="../queryTables/queryTable1116.xml"/><Relationship Id="rId1324" Type="http://schemas.openxmlformats.org/officeDocument/2006/relationships/queryTable" Target="../queryTables/queryTable1323.xml"/><Relationship Id="rId1531" Type="http://schemas.openxmlformats.org/officeDocument/2006/relationships/queryTable" Target="../queryTables/queryTable1530.xml"/><Relationship Id="rId1769" Type="http://schemas.openxmlformats.org/officeDocument/2006/relationships/queryTable" Target="../queryTables/queryTable1768.xml"/><Relationship Id="rId30" Type="http://schemas.openxmlformats.org/officeDocument/2006/relationships/queryTable" Target="../queryTables/queryTable29.xml"/><Relationship Id="rId1629" Type="http://schemas.openxmlformats.org/officeDocument/2006/relationships/queryTable" Target="../queryTables/queryTable1628.xml"/><Relationship Id="rId277" Type="http://schemas.openxmlformats.org/officeDocument/2006/relationships/queryTable" Target="../queryTables/queryTable276.xml"/><Relationship Id="rId484" Type="http://schemas.openxmlformats.org/officeDocument/2006/relationships/queryTable" Target="../queryTables/queryTable483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96" Type="http://schemas.openxmlformats.org/officeDocument/2006/relationships/queryTable" Target="../queryTables/queryTable995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181" Type="http://schemas.openxmlformats.org/officeDocument/2006/relationships/queryTable" Target="../queryTables/queryTable1180.xml"/><Relationship Id="rId1279" Type="http://schemas.openxmlformats.org/officeDocument/2006/relationships/queryTable" Target="../queryTables/queryTable1278.xml"/><Relationship Id="rId1486" Type="http://schemas.openxmlformats.org/officeDocument/2006/relationships/queryTable" Target="../queryTables/queryTable1485.xml"/><Relationship Id="rId204" Type="http://schemas.openxmlformats.org/officeDocument/2006/relationships/queryTable" Target="../queryTables/queryTable203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1139" Type="http://schemas.openxmlformats.org/officeDocument/2006/relationships/queryTable" Target="../queryTables/queryTable1138.xml"/><Relationship Id="rId1346" Type="http://schemas.openxmlformats.org/officeDocument/2006/relationships/queryTable" Target="../queryTables/queryTable1345.xml"/><Relationship Id="rId1693" Type="http://schemas.openxmlformats.org/officeDocument/2006/relationships/queryTable" Target="../queryTables/queryTable1692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1553" Type="http://schemas.openxmlformats.org/officeDocument/2006/relationships/queryTable" Target="../queryTables/queryTable1552.xml"/><Relationship Id="rId1760" Type="http://schemas.openxmlformats.org/officeDocument/2006/relationships/queryTable" Target="../queryTables/queryTable1759.xml"/><Relationship Id="rId52" Type="http://schemas.openxmlformats.org/officeDocument/2006/relationships/queryTable" Target="../queryTables/queryTable51.xml"/><Relationship Id="rId1206" Type="http://schemas.openxmlformats.org/officeDocument/2006/relationships/queryTable" Target="../queryTables/queryTable1205.xml"/><Relationship Id="rId1413" Type="http://schemas.openxmlformats.org/officeDocument/2006/relationships/queryTable" Target="../queryTables/queryTable1412.xml"/><Relationship Id="rId1620" Type="http://schemas.openxmlformats.org/officeDocument/2006/relationships/queryTable" Target="../queryTables/queryTable1619.xml"/><Relationship Id="rId1718" Type="http://schemas.openxmlformats.org/officeDocument/2006/relationships/queryTable" Target="../queryTables/queryTable1717.xml"/><Relationship Id="rId299" Type="http://schemas.openxmlformats.org/officeDocument/2006/relationships/queryTable" Target="../queryTables/queryTable298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1270" Type="http://schemas.openxmlformats.org/officeDocument/2006/relationships/queryTable" Target="../queryTables/queryTable1269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1368" Type="http://schemas.openxmlformats.org/officeDocument/2006/relationships/queryTable" Target="../queryTables/queryTable1367.xml"/><Relationship Id="rId1575" Type="http://schemas.openxmlformats.org/officeDocument/2006/relationships/queryTable" Target="../queryTables/queryTable1574.xml"/><Relationship Id="rId1782" Type="http://schemas.openxmlformats.org/officeDocument/2006/relationships/queryTable" Target="../queryTables/queryTable1781.xml"/><Relationship Id="rId74" Type="http://schemas.openxmlformats.org/officeDocument/2006/relationships/queryTable" Target="../queryTables/queryTable73.xml"/><Relationship Id="rId500" Type="http://schemas.openxmlformats.org/officeDocument/2006/relationships/queryTable" Target="../queryTables/queryTable499.xml"/><Relationship Id="rId805" Type="http://schemas.openxmlformats.org/officeDocument/2006/relationships/queryTable" Target="../queryTables/queryTable804.xml"/><Relationship Id="rId1130" Type="http://schemas.openxmlformats.org/officeDocument/2006/relationships/queryTable" Target="../queryTables/queryTable1129.xml"/><Relationship Id="rId1228" Type="http://schemas.openxmlformats.org/officeDocument/2006/relationships/queryTable" Target="../queryTables/queryTable1227.xml"/><Relationship Id="rId1435" Type="http://schemas.openxmlformats.org/officeDocument/2006/relationships/queryTable" Target="../queryTables/queryTable1434.xml"/><Relationship Id="rId1642" Type="http://schemas.openxmlformats.org/officeDocument/2006/relationships/queryTable" Target="../queryTables/queryTable1641.xml"/><Relationship Id="rId1502" Type="http://schemas.openxmlformats.org/officeDocument/2006/relationships/queryTable" Target="../queryTables/queryTable1501.xml"/><Relationship Id="rId1807" Type="http://schemas.openxmlformats.org/officeDocument/2006/relationships/queryTable" Target="../queryTables/queryTable1806.xml"/><Relationship Id="rId290" Type="http://schemas.openxmlformats.org/officeDocument/2006/relationships/queryTable" Target="../queryTables/queryTable289.xml"/><Relationship Id="rId388" Type="http://schemas.openxmlformats.org/officeDocument/2006/relationships/queryTable" Target="../queryTables/queryTable387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92" Type="http://schemas.openxmlformats.org/officeDocument/2006/relationships/queryTable" Target="../queryTables/queryTable129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1152" Type="http://schemas.openxmlformats.org/officeDocument/2006/relationships/queryTable" Target="../queryTables/queryTable1151.xml"/><Relationship Id="rId1597" Type="http://schemas.openxmlformats.org/officeDocument/2006/relationships/queryTable" Target="../queryTables/queryTable1596.xml"/><Relationship Id="rId96" Type="http://schemas.openxmlformats.org/officeDocument/2006/relationships/queryTable" Target="../queryTables/queryTable95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1457" Type="http://schemas.openxmlformats.org/officeDocument/2006/relationships/queryTable" Target="../queryTables/queryTable1456.xml"/><Relationship Id="rId1664" Type="http://schemas.openxmlformats.org/officeDocument/2006/relationships/queryTable" Target="../queryTables/queryTable1663.xml"/><Relationship Id="rId1317" Type="http://schemas.openxmlformats.org/officeDocument/2006/relationships/queryTable" Target="../queryTables/queryTable1316.xml"/><Relationship Id="rId1524" Type="http://schemas.openxmlformats.org/officeDocument/2006/relationships/queryTable" Target="../queryTables/queryTable1523.xml"/><Relationship Id="rId1731" Type="http://schemas.openxmlformats.org/officeDocument/2006/relationships/queryTable" Target="../queryTables/queryTable1730.xml"/><Relationship Id="rId23" Type="http://schemas.openxmlformats.org/officeDocument/2006/relationships/queryTable" Target="../queryTables/queryTable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89" Type="http://schemas.openxmlformats.org/officeDocument/2006/relationships/queryTable" Target="../queryTables/queryTable988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174" Type="http://schemas.openxmlformats.org/officeDocument/2006/relationships/queryTable" Target="../queryTables/queryTable1173.xml"/><Relationship Id="rId1381" Type="http://schemas.openxmlformats.org/officeDocument/2006/relationships/queryTable" Target="../queryTables/queryTable1380.xml"/><Relationship Id="rId1479" Type="http://schemas.openxmlformats.org/officeDocument/2006/relationships/queryTable" Target="../queryTables/queryTable1478.xml"/><Relationship Id="rId1686" Type="http://schemas.openxmlformats.org/officeDocument/2006/relationships/queryTable" Target="../queryTables/queryTable1685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1241" Type="http://schemas.openxmlformats.org/officeDocument/2006/relationships/queryTable" Target="../queryTables/queryTable1240.xml"/><Relationship Id="rId1339" Type="http://schemas.openxmlformats.org/officeDocument/2006/relationships/queryTable" Target="../queryTables/queryTable1338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1546" Type="http://schemas.openxmlformats.org/officeDocument/2006/relationships/queryTable" Target="../queryTables/queryTable1545.xml"/><Relationship Id="rId1753" Type="http://schemas.openxmlformats.org/officeDocument/2006/relationships/queryTable" Target="../queryTables/queryTable1752.xml"/><Relationship Id="rId45" Type="http://schemas.openxmlformats.org/officeDocument/2006/relationships/queryTable" Target="../queryTables/queryTable44.xml"/><Relationship Id="rId1406" Type="http://schemas.openxmlformats.org/officeDocument/2006/relationships/queryTable" Target="../queryTables/queryTable1405.xml"/><Relationship Id="rId1613" Type="http://schemas.openxmlformats.org/officeDocument/2006/relationships/queryTable" Target="../queryTables/queryTable1612.xml"/><Relationship Id="rId194" Type="http://schemas.openxmlformats.org/officeDocument/2006/relationships/queryTable" Target="../queryTables/queryTable193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196" Type="http://schemas.openxmlformats.org/officeDocument/2006/relationships/queryTable" Target="../queryTables/queryTable1195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1263" Type="http://schemas.openxmlformats.org/officeDocument/2006/relationships/queryTable" Target="../queryTables/queryTable1262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1470" Type="http://schemas.openxmlformats.org/officeDocument/2006/relationships/queryTable" Target="../queryTables/queryTable1469.xml"/><Relationship Id="rId1568" Type="http://schemas.openxmlformats.org/officeDocument/2006/relationships/queryTable" Target="../queryTables/queryTable1567.xml"/><Relationship Id="rId1775" Type="http://schemas.openxmlformats.org/officeDocument/2006/relationships/queryTable" Target="../queryTables/queryTable1774.xml"/><Relationship Id="rId67" Type="http://schemas.openxmlformats.org/officeDocument/2006/relationships/queryTable" Target="../queryTables/queryTable66.xml"/><Relationship Id="rId700" Type="http://schemas.openxmlformats.org/officeDocument/2006/relationships/queryTable" Target="../queryTables/queryTable699.xml"/><Relationship Id="rId1123" Type="http://schemas.openxmlformats.org/officeDocument/2006/relationships/queryTable" Target="../queryTables/queryTable1122.xml"/><Relationship Id="rId1330" Type="http://schemas.openxmlformats.org/officeDocument/2006/relationships/queryTable" Target="../queryTables/queryTable1329.xml"/><Relationship Id="rId1428" Type="http://schemas.openxmlformats.org/officeDocument/2006/relationships/queryTable" Target="../queryTables/queryTable1427.xml"/><Relationship Id="rId1635" Type="http://schemas.openxmlformats.org/officeDocument/2006/relationships/queryTable" Target="../queryTables/queryTable1634.xml"/><Relationship Id="rId1702" Type="http://schemas.openxmlformats.org/officeDocument/2006/relationships/queryTable" Target="../queryTables/queryTable1701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1285" Type="http://schemas.openxmlformats.org/officeDocument/2006/relationships/queryTable" Target="../queryTables/queryTable1284.xml"/><Relationship Id="rId1492" Type="http://schemas.openxmlformats.org/officeDocument/2006/relationships/queryTable" Target="../queryTables/queryTable1491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1145" Type="http://schemas.openxmlformats.org/officeDocument/2006/relationships/queryTable" Target="../queryTables/queryTable1144.xml"/><Relationship Id="rId1352" Type="http://schemas.openxmlformats.org/officeDocument/2006/relationships/queryTable" Target="../queryTables/queryTable1351.xml"/><Relationship Id="rId1797" Type="http://schemas.openxmlformats.org/officeDocument/2006/relationships/queryTable" Target="../queryTables/queryTable1796.xml"/><Relationship Id="rId89" Type="http://schemas.openxmlformats.org/officeDocument/2006/relationships/queryTable" Target="../queryTables/queryTable88.xml"/><Relationship Id="rId1005" Type="http://schemas.openxmlformats.org/officeDocument/2006/relationships/queryTable" Target="../queryTables/queryTable1004.xml"/><Relationship Id="rId1212" Type="http://schemas.openxmlformats.org/officeDocument/2006/relationships/queryTable" Target="../queryTables/queryTable1211.xml"/><Relationship Id="rId1657" Type="http://schemas.openxmlformats.org/officeDocument/2006/relationships/queryTable" Target="../queryTables/queryTable1656.xml"/><Relationship Id="rId1517" Type="http://schemas.openxmlformats.org/officeDocument/2006/relationships/queryTable" Target="../queryTables/queryTable1516.xml"/><Relationship Id="rId1724" Type="http://schemas.openxmlformats.org/officeDocument/2006/relationships/queryTable" Target="../queryTables/queryTable1723.xml"/><Relationship Id="rId16" Type="http://schemas.openxmlformats.org/officeDocument/2006/relationships/queryTable" Target="../queryTables/queryTable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1167" Type="http://schemas.openxmlformats.org/officeDocument/2006/relationships/queryTable" Target="../queryTables/queryTable1166.xml"/><Relationship Id="rId1374" Type="http://schemas.openxmlformats.org/officeDocument/2006/relationships/queryTable" Target="../queryTables/queryTable1373.xml"/><Relationship Id="rId1581" Type="http://schemas.openxmlformats.org/officeDocument/2006/relationships/queryTable" Target="../queryTables/queryTable1580.xml"/><Relationship Id="rId1679" Type="http://schemas.openxmlformats.org/officeDocument/2006/relationships/queryTable" Target="../queryTables/queryTable1678.xml"/><Relationship Id="rId80" Type="http://schemas.openxmlformats.org/officeDocument/2006/relationships/queryTable" Target="../queryTables/queryTable7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1234" Type="http://schemas.openxmlformats.org/officeDocument/2006/relationships/queryTable" Target="../queryTables/queryTable1233.xml"/><Relationship Id="rId1441" Type="http://schemas.openxmlformats.org/officeDocument/2006/relationships/queryTable" Target="../queryTables/queryTable1440.xml"/><Relationship Id="rId909" Type="http://schemas.openxmlformats.org/officeDocument/2006/relationships/queryTable" Target="../queryTables/queryTable908.xml"/><Relationship Id="rId1301" Type="http://schemas.openxmlformats.org/officeDocument/2006/relationships/queryTable" Target="../queryTables/queryTable1300.xml"/><Relationship Id="rId1539" Type="http://schemas.openxmlformats.org/officeDocument/2006/relationships/queryTable" Target="../queryTables/queryTable1538.xml"/><Relationship Id="rId1746" Type="http://schemas.openxmlformats.org/officeDocument/2006/relationships/queryTable" Target="../queryTables/queryTable1745.xml"/><Relationship Id="rId38" Type="http://schemas.openxmlformats.org/officeDocument/2006/relationships/queryTable" Target="../queryTables/queryTable37.xml"/><Relationship Id="rId1606" Type="http://schemas.openxmlformats.org/officeDocument/2006/relationships/queryTable" Target="../queryTables/queryTable1605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189" Type="http://schemas.openxmlformats.org/officeDocument/2006/relationships/queryTable" Target="../queryTables/queryTable1188.xml"/><Relationship Id="rId1396" Type="http://schemas.openxmlformats.org/officeDocument/2006/relationships/queryTable" Target="../queryTables/queryTable1395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1256" Type="http://schemas.openxmlformats.org/officeDocument/2006/relationships/queryTable" Target="../queryTables/queryTable1255.xml"/><Relationship Id="rId833" Type="http://schemas.openxmlformats.org/officeDocument/2006/relationships/queryTable" Target="../queryTables/queryTable832.xml"/><Relationship Id="rId1116" Type="http://schemas.openxmlformats.org/officeDocument/2006/relationships/queryTable" Target="../queryTables/queryTable1115.xml"/><Relationship Id="rId1463" Type="http://schemas.openxmlformats.org/officeDocument/2006/relationships/queryTable" Target="../queryTables/queryTable1462.xml"/><Relationship Id="rId1670" Type="http://schemas.openxmlformats.org/officeDocument/2006/relationships/queryTable" Target="../queryTables/queryTable1669.xml"/><Relationship Id="rId1768" Type="http://schemas.openxmlformats.org/officeDocument/2006/relationships/queryTable" Target="../queryTables/queryTable1767.xml"/><Relationship Id="rId900" Type="http://schemas.openxmlformats.org/officeDocument/2006/relationships/queryTable" Target="../queryTables/queryTable899.xml"/><Relationship Id="rId1323" Type="http://schemas.openxmlformats.org/officeDocument/2006/relationships/queryTable" Target="../queryTables/queryTable1322.xml"/><Relationship Id="rId1530" Type="http://schemas.openxmlformats.org/officeDocument/2006/relationships/queryTable" Target="../queryTables/queryTable1529.xml"/><Relationship Id="rId1628" Type="http://schemas.openxmlformats.org/officeDocument/2006/relationships/queryTable" Target="../queryTables/queryTable1627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1180" Type="http://schemas.openxmlformats.org/officeDocument/2006/relationships/queryTable" Target="../queryTables/queryTable1179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1278" Type="http://schemas.openxmlformats.org/officeDocument/2006/relationships/queryTable" Target="../queryTables/queryTable1277.xml"/><Relationship Id="rId1485" Type="http://schemas.openxmlformats.org/officeDocument/2006/relationships/queryTable" Target="../queryTables/queryTable1484.xml"/><Relationship Id="rId1692" Type="http://schemas.openxmlformats.org/officeDocument/2006/relationships/queryTable" Target="../queryTables/queryTable1691.xml"/><Relationship Id="rId410" Type="http://schemas.openxmlformats.org/officeDocument/2006/relationships/queryTable" Target="../queryTables/queryTable409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138" Type="http://schemas.openxmlformats.org/officeDocument/2006/relationships/queryTable" Target="../queryTables/queryTable1137.xml"/><Relationship Id="rId1345" Type="http://schemas.openxmlformats.org/officeDocument/2006/relationships/queryTable" Target="../queryTables/queryTable1344.xml"/><Relationship Id="rId1552" Type="http://schemas.openxmlformats.org/officeDocument/2006/relationships/queryTable" Target="../queryTables/queryTable1551.xml"/><Relationship Id="rId1205" Type="http://schemas.openxmlformats.org/officeDocument/2006/relationships/queryTable" Target="../queryTables/queryTable1204.xml"/><Relationship Id="rId51" Type="http://schemas.openxmlformats.org/officeDocument/2006/relationships/queryTable" Target="../queryTables/queryTable50.xml"/><Relationship Id="rId1412" Type="http://schemas.openxmlformats.org/officeDocument/2006/relationships/queryTable" Target="../queryTables/queryTable1411.xml"/><Relationship Id="rId1717" Type="http://schemas.openxmlformats.org/officeDocument/2006/relationships/queryTable" Target="../queryTables/queryTable1716.xml"/><Relationship Id="rId298" Type="http://schemas.openxmlformats.org/officeDocument/2006/relationships/queryTable" Target="../queryTables/queryTable297.xml"/><Relationship Id="rId158" Type="http://schemas.openxmlformats.org/officeDocument/2006/relationships/queryTable" Target="../queryTables/queryTable157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1367" Type="http://schemas.openxmlformats.org/officeDocument/2006/relationships/queryTable" Target="../queryTables/queryTable1366.xml"/><Relationship Id="rId1574" Type="http://schemas.openxmlformats.org/officeDocument/2006/relationships/queryTable" Target="../queryTables/queryTable1573.xml"/><Relationship Id="rId1781" Type="http://schemas.openxmlformats.org/officeDocument/2006/relationships/queryTable" Target="../queryTables/queryTable1780.xml"/><Relationship Id="rId73" Type="http://schemas.openxmlformats.org/officeDocument/2006/relationships/queryTable" Target="../queryTables/queryTable72.xml"/><Relationship Id="rId804" Type="http://schemas.openxmlformats.org/officeDocument/2006/relationships/queryTable" Target="../queryTables/queryTable803.xml"/><Relationship Id="rId1227" Type="http://schemas.openxmlformats.org/officeDocument/2006/relationships/queryTable" Target="../queryTables/queryTable1226.xml"/><Relationship Id="rId1434" Type="http://schemas.openxmlformats.org/officeDocument/2006/relationships/queryTable" Target="../queryTables/queryTable1433.xml"/><Relationship Id="rId1641" Type="http://schemas.openxmlformats.org/officeDocument/2006/relationships/queryTable" Target="../queryTables/queryTable1640.xml"/><Relationship Id="rId1501" Type="http://schemas.openxmlformats.org/officeDocument/2006/relationships/queryTable" Target="../queryTables/queryTable1500.xml"/><Relationship Id="rId1739" Type="http://schemas.openxmlformats.org/officeDocument/2006/relationships/queryTable" Target="../queryTables/queryTable1738.xml"/><Relationship Id="rId1806" Type="http://schemas.openxmlformats.org/officeDocument/2006/relationships/queryTable" Target="../queryTables/queryTable1805.xml"/><Relationship Id="rId387" Type="http://schemas.openxmlformats.org/officeDocument/2006/relationships/queryTable" Target="../queryTables/queryTable386.xml"/><Relationship Id="rId594" Type="http://schemas.openxmlformats.org/officeDocument/2006/relationships/queryTable" Target="../queryTables/queryTable593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291" Type="http://schemas.openxmlformats.org/officeDocument/2006/relationships/queryTable" Target="../queryTables/queryTable1290.xml"/><Relationship Id="rId1389" Type="http://schemas.openxmlformats.org/officeDocument/2006/relationships/queryTable" Target="../queryTables/queryTable1388.xml"/><Relationship Id="rId1596" Type="http://schemas.openxmlformats.org/officeDocument/2006/relationships/queryTable" Target="../queryTables/queryTable1595.xml"/><Relationship Id="rId314" Type="http://schemas.openxmlformats.org/officeDocument/2006/relationships/queryTable" Target="../queryTables/queryTable313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1151" Type="http://schemas.openxmlformats.org/officeDocument/2006/relationships/queryTable" Target="../queryTables/queryTable1150.xml"/><Relationship Id="rId1249" Type="http://schemas.openxmlformats.org/officeDocument/2006/relationships/queryTable" Target="../queryTables/queryTable1248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0"/>
  </sheetPr>
  <dimension ref="A1:AP48"/>
  <sheetViews>
    <sheetView workbookViewId="0">
      <pane xSplit="2" ySplit="2" topLeftCell="I3" activePane="bottomRight" state="frozen"/>
      <selection pane="topRight" activeCell="C1" sqref="C1"/>
      <selection pane="bottomLeft" activeCell="A2" sqref="A2"/>
      <selection pane="bottomRight" activeCell="I5" sqref="I5"/>
    </sheetView>
  </sheetViews>
  <sheetFormatPr defaultColWidth="9.109375" defaultRowHeight="13.2" x14ac:dyDescent="0.25"/>
  <cols>
    <col min="1" max="1" width="12.5546875" style="1" customWidth="1"/>
    <col min="2" max="2" width="20" style="1" customWidth="1"/>
    <col min="3" max="3" width="8" style="1" customWidth="1"/>
    <col min="4" max="4" width="8.6640625" style="39" customWidth="1"/>
    <col min="5" max="5" width="8.5546875" style="1" customWidth="1"/>
    <col min="6" max="6" width="11.109375" style="14" customWidth="1"/>
    <col min="7" max="7" width="17" style="39" customWidth="1"/>
    <col min="8" max="8" width="9.109375" style="40"/>
    <col min="9" max="9" width="11.109375" style="14" customWidth="1"/>
    <col min="10" max="10" width="17" style="39" customWidth="1"/>
    <col min="11" max="11" width="9.109375" style="40"/>
    <col min="12" max="12" width="11.109375" style="14" customWidth="1"/>
    <col min="13" max="13" width="13.6640625" style="39" customWidth="1"/>
    <col min="14" max="14" width="7.109375" style="40" customWidth="1"/>
    <col min="15" max="15" width="11.109375" style="14" customWidth="1"/>
    <col min="16" max="16" width="18.44140625" style="39" customWidth="1"/>
    <col min="17" max="17" width="9.109375" style="40"/>
    <col min="18" max="18" width="11.109375" style="14" customWidth="1"/>
    <col min="19" max="19" width="13.6640625" style="39" customWidth="1"/>
    <col min="20" max="20" width="7.109375" style="40" customWidth="1"/>
    <col min="21" max="21" width="11.109375" style="14" customWidth="1"/>
    <col min="22" max="22" width="21.109375" style="39" customWidth="1"/>
    <col min="23" max="23" width="9.109375" style="40"/>
    <col min="24" max="24" width="11.109375" style="14" customWidth="1"/>
    <col min="25" max="25" width="21.109375" style="39" customWidth="1"/>
    <col min="26" max="26" width="9.109375" style="40"/>
    <col min="27" max="27" width="11.109375" style="14" customWidth="1"/>
    <col min="28" max="28" width="22.44140625" style="39" customWidth="1"/>
    <col min="29" max="29" width="12" style="60" customWidth="1"/>
    <col min="30" max="30" width="11.109375" style="14" customWidth="1"/>
    <col min="31" max="31" width="21.109375" style="39" customWidth="1"/>
    <col min="32" max="32" width="9.109375" style="40"/>
    <col min="33" max="33" width="11.109375" style="14" customWidth="1"/>
    <col min="34" max="34" width="21.109375" style="39" customWidth="1"/>
    <col min="35" max="35" width="9.109375" style="40"/>
    <col min="36" max="36" width="11.109375" style="14" customWidth="1"/>
    <col min="37" max="37" width="21.109375" style="39" customWidth="1"/>
    <col min="38" max="38" width="9.109375" style="40"/>
    <col min="39" max="39" width="14.109375" style="1" customWidth="1"/>
    <col min="40" max="40" width="25.44140625" style="1" customWidth="1"/>
    <col min="41" max="16384" width="9.109375" style="1"/>
  </cols>
  <sheetData>
    <row r="1" spans="1:40" s="2" customFormat="1" x14ac:dyDescent="0.25">
      <c r="A1" s="249" t="s">
        <v>0</v>
      </c>
      <c r="B1" s="249" t="s">
        <v>1</v>
      </c>
      <c r="C1" s="249" t="s">
        <v>121</v>
      </c>
      <c r="D1" s="249"/>
      <c r="E1" s="249"/>
      <c r="F1" s="249" t="s">
        <v>117</v>
      </c>
      <c r="G1" s="249"/>
      <c r="H1" s="249"/>
      <c r="I1" s="249" t="s">
        <v>114</v>
      </c>
      <c r="J1" s="249"/>
      <c r="K1" s="249"/>
      <c r="L1" s="249" t="s">
        <v>203</v>
      </c>
      <c r="M1" s="249"/>
      <c r="N1" s="249"/>
      <c r="O1" s="249" t="s">
        <v>169</v>
      </c>
      <c r="P1" s="249"/>
      <c r="Q1" s="249"/>
      <c r="R1" s="249" t="s">
        <v>206</v>
      </c>
      <c r="S1" s="249"/>
      <c r="T1" s="249"/>
      <c r="U1" s="249" t="s">
        <v>209</v>
      </c>
      <c r="V1" s="249"/>
      <c r="W1" s="249"/>
      <c r="X1" s="249" t="s">
        <v>244</v>
      </c>
      <c r="Y1" s="249"/>
      <c r="Z1" s="249"/>
      <c r="AA1" s="249" t="s">
        <v>215</v>
      </c>
      <c r="AB1" s="249"/>
      <c r="AC1" s="249"/>
      <c r="AD1" s="249" t="s">
        <v>213</v>
      </c>
      <c r="AE1" s="249"/>
      <c r="AF1" s="249"/>
      <c r="AG1" s="249" t="s">
        <v>292</v>
      </c>
      <c r="AH1" s="249"/>
      <c r="AI1" s="249"/>
      <c r="AJ1" s="249" t="s">
        <v>301</v>
      </c>
      <c r="AK1" s="249"/>
      <c r="AL1" s="249"/>
      <c r="AM1" s="11"/>
      <c r="AN1" s="11"/>
    </row>
    <row r="2" spans="1:40" s="2" customFormat="1" x14ac:dyDescent="0.25">
      <c r="A2" s="249"/>
      <c r="B2" s="249"/>
      <c r="C2" s="11" t="s">
        <v>118</v>
      </c>
      <c r="D2" s="11" t="s">
        <v>119</v>
      </c>
      <c r="E2" s="11" t="s">
        <v>120</v>
      </c>
      <c r="F2" s="11" t="s">
        <v>118</v>
      </c>
      <c r="G2" s="11" t="s">
        <v>119</v>
      </c>
      <c r="H2" s="11" t="s">
        <v>120</v>
      </c>
      <c r="I2" s="11" t="s">
        <v>118</v>
      </c>
      <c r="J2" s="11" t="s">
        <v>119</v>
      </c>
      <c r="K2" s="11" t="s">
        <v>120</v>
      </c>
      <c r="L2" s="11" t="s">
        <v>118</v>
      </c>
      <c r="M2" s="11" t="s">
        <v>119</v>
      </c>
      <c r="N2" s="11" t="s">
        <v>120</v>
      </c>
      <c r="O2" s="11" t="s">
        <v>118</v>
      </c>
      <c r="P2" s="11" t="s">
        <v>119</v>
      </c>
      <c r="Q2" s="11" t="s">
        <v>120</v>
      </c>
      <c r="R2" s="11" t="s">
        <v>118</v>
      </c>
      <c r="S2" s="11" t="s">
        <v>119</v>
      </c>
      <c r="T2" s="11" t="s">
        <v>120</v>
      </c>
      <c r="U2" s="11" t="s">
        <v>118</v>
      </c>
      <c r="V2" s="11" t="s">
        <v>119</v>
      </c>
      <c r="W2" s="11" t="s">
        <v>120</v>
      </c>
      <c r="X2" s="11" t="s">
        <v>118</v>
      </c>
      <c r="Y2" s="11" t="s">
        <v>119</v>
      </c>
      <c r="Z2" s="11" t="s">
        <v>120</v>
      </c>
      <c r="AA2" s="11" t="s">
        <v>118</v>
      </c>
      <c r="AB2" s="11" t="s">
        <v>119</v>
      </c>
      <c r="AC2" s="11" t="s">
        <v>120</v>
      </c>
      <c r="AD2" s="11" t="s">
        <v>118</v>
      </c>
      <c r="AE2" s="11" t="s">
        <v>119</v>
      </c>
      <c r="AF2" s="11" t="s">
        <v>120</v>
      </c>
      <c r="AG2" s="11" t="s">
        <v>118</v>
      </c>
      <c r="AH2" s="11" t="s">
        <v>119</v>
      </c>
      <c r="AI2" s="11" t="s">
        <v>120</v>
      </c>
      <c r="AJ2" s="11" t="s">
        <v>118</v>
      </c>
      <c r="AK2" s="11" t="s">
        <v>119</v>
      </c>
      <c r="AL2" s="11" t="s">
        <v>120</v>
      </c>
      <c r="AM2" s="11"/>
      <c r="AN2" s="11" t="s">
        <v>102</v>
      </c>
    </row>
    <row r="3" spans="1:40" x14ac:dyDescent="0.25">
      <c r="A3" s="8" t="s">
        <v>3</v>
      </c>
      <c r="B3" s="9" t="s">
        <v>321</v>
      </c>
      <c r="C3" s="8" t="s">
        <v>8</v>
      </c>
      <c r="D3" s="37" t="str">
        <f t="shared" ref="D3:D45" si="0">VLOOKUP(mabacluong,bacluong,2,0)</f>
        <v>Bậc 06</v>
      </c>
      <c r="E3" s="10">
        <v>6.1</v>
      </c>
      <c r="F3" s="8" t="s">
        <v>3</v>
      </c>
      <c r="G3" s="37" t="str">
        <f t="shared" ref="G3:G45" si="1">VLOOKUP(machucvu,chucvu,2,0)</f>
        <v>GĐ</v>
      </c>
      <c r="H3" s="38">
        <f t="shared" ref="H3:H45" si="2">VLOOKUP(machucvu,chucvu,3,0)</f>
        <v>0.9</v>
      </c>
      <c r="I3" s="8" t="s">
        <v>137</v>
      </c>
      <c r="J3" s="37" t="str">
        <f t="shared" ref="J3:J45" si="3">VLOOKUP(mavuotkhung,vuotkhung,2,0)</f>
        <v>Không vượt khung</v>
      </c>
      <c r="K3" s="42">
        <f t="shared" ref="K3:K12" si="4">(VLOOKUP(mavuotkhung,vuotkhung,3,0))*E3</f>
        <v>0</v>
      </c>
      <c r="L3" s="8" t="s">
        <v>3</v>
      </c>
      <c r="M3" s="37" t="str">
        <f t="shared" ref="M3:M45" si="5">VLOOKUP(makhuvuc,khuvuc,2,0)</f>
        <v>Hưởng khu vực</v>
      </c>
      <c r="N3" s="37">
        <f t="shared" ref="N3:N45" si="6">VLOOKUP(makhuvuc,khuvuc,3,0)</f>
        <v>0.2</v>
      </c>
      <c r="O3" s="8" t="s">
        <v>11</v>
      </c>
      <c r="P3" s="37" t="str">
        <f t="shared" ref="P3:P45" si="7">VLOOKUP(mathamniennghe,thamniennghe,2,0)</f>
        <v>Thâm niên nghề 9%</v>
      </c>
      <c r="Q3" s="42">
        <f t="shared" ref="Q3:Q12" si="8">(VLOOKUP(mathamniennghe,thamniennghe,3,0))*(E3+H3+K3)</f>
        <v>0.63</v>
      </c>
      <c r="R3" s="8" t="s">
        <v>11</v>
      </c>
      <c r="S3" s="37" t="str">
        <f t="shared" ref="S3:S45" si="9">VLOOKUP(madochai,dochai,2,0)</f>
        <v>Không độc hại</v>
      </c>
      <c r="T3" s="38">
        <f t="shared" ref="T3:T45" si="10">VLOOKUP(madochai,dochai,3,0)</f>
        <v>0</v>
      </c>
      <c r="U3" s="8" t="s">
        <v>3</v>
      </c>
      <c r="V3" s="37" t="str">
        <f t="shared" ref="V3:V45" si="11">VLOOKUP(mauudainghe,uudainghe,2,0)</f>
        <v>Hưởng 20% ưu đãi nghề</v>
      </c>
      <c r="W3" s="42">
        <f t="shared" ref="W3:W12" si="12">(VLOOKUP(mauudainghe,uudainghe,3,0))*(E3+H3+K3)</f>
        <v>1.4000000000000001</v>
      </c>
      <c r="X3" s="8" t="s">
        <v>11</v>
      </c>
      <c r="Y3" s="37" t="str">
        <f t="shared" ref="Y3:Y45" si="13">VLOOKUP(matrachnhiem,trachnhiem,2,0)</f>
        <v>Không trách nhiệm</v>
      </c>
      <c r="Z3" s="42">
        <f t="shared" ref="Z3:Z45" si="14">VLOOKUP(matrachnhiem,trachnhiem,3,0)</f>
        <v>0</v>
      </c>
      <c r="AA3" s="8" t="s">
        <v>11</v>
      </c>
      <c r="AB3" s="37" t="str">
        <f t="shared" ref="AB3:AB45" si="15">VLOOKUP(maphukienhopdong,phukienhopdong,2,0)</f>
        <v>Không phụ kiện hợp đồng</v>
      </c>
      <c r="AC3" s="59">
        <f t="shared" ref="AC3:AC45" si="16">VLOOKUP(maphukienhopdong,phukienhopdong,3,0)</f>
        <v>0</v>
      </c>
      <c r="AD3" s="8" t="s">
        <v>3</v>
      </c>
      <c r="AE3" s="37" t="str">
        <f t="shared" ref="AE3:AE45" si="17">VLOOKUP(makiemnhiem,kiemnhiem,2,0)</f>
        <v>Kiêm nhiệm</v>
      </c>
      <c r="AF3" s="42">
        <f t="shared" ref="AF3:AF45" si="18">VLOOKUP(makiemnhiem,kiemnhiem,3,0)*(E3+H3+K3)</f>
        <v>0.70000000000000007</v>
      </c>
      <c r="AG3" s="8" t="s">
        <v>3</v>
      </c>
      <c r="AH3" s="37" t="str">
        <f t="shared" ref="AH3:AH27" si="19">VLOOKUP(_ma1670,_pc11670,2,0)</f>
        <v>Phu cấp 116 70%</v>
      </c>
      <c r="AI3" s="38">
        <f t="shared" ref="AI3:AI25" si="20">VLOOKUP(_ma1670,_pc11670,3,0)*(E3+H3+K3)</f>
        <v>0</v>
      </c>
      <c r="AJ3" s="8" t="s">
        <v>11</v>
      </c>
      <c r="AK3" s="37" t="str">
        <f t="shared" ref="AK3:AK27" si="21">VLOOKUP(_ma116,pc1165070100,2,0)</f>
        <v>Khác</v>
      </c>
      <c r="AL3" s="38">
        <v>0</v>
      </c>
      <c r="AM3" s="9"/>
      <c r="AN3" s="9" t="s">
        <v>350</v>
      </c>
    </row>
    <row r="4" spans="1:40" x14ac:dyDescent="0.25">
      <c r="A4" s="8" t="s">
        <v>4</v>
      </c>
      <c r="B4" s="9" t="s">
        <v>60</v>
      </c>
      <c r="C4" s="8" t="s">
        <v>11</v>
      </c>
      <c r="D4" s="37" t="str">
        <f t="shared" si="0"/>
        <v>Bậc 09</v>
      </c>
      <c r="E4" s="10">
        <v>4.9800000000000004</v>
      </c>
      <c r="F4" s="8" t="s">
        <v>4</v>
      </c>
      <c r="G4" s="37" t="str">
        <f t="shared" si="1"/>
        <v>PGĐ</v>
      </c>
      <c r="H4" s="38">
        <f t="shared" si="2"/>
        <v>0.7</v>
      </c>
      <c r="I4" s="8" t="s">
        <v>9</v>
      </c>
      <c r="J4" s="37" t="str">
        <f t="shared" si="3"/>
        <v>Vượt khung 7%</v>
      </c>
      <c r="K4" s="42">
        <f t="shared" si="4"/>
        <v>0.34860000000000008</v>
      </c>
      <c r="L4" s="8" t="s">
        <v>3</v>
      </c>
      <c r="M4" s="37" t="str">
        <f t="shared" si="5"/>
        <v>Hưởng khu vực</v>
      </c>
      <c r="N4" s="37">
        <f t="shared" si="6"/>
        <v>0.2</v>
      </c>
      <c r="O4" s="8" t="s">
        <v>137</v>
      </c>
      <c r="P4" s="37" t="str">
        <f t="shared" si="7"/>
        <v>Không thâm niên nghề</v>
      </c>
      <c r="Q4" s="42">
        <f t="shared" si="8"/>
        <v>0</v>
      </c>
      <c r="R4" s="8" t="s">
        <v>11</v>
      </c>
      <c r="S4" s="37" t="str">
        <f t="shared" si="9"/>
        <v>Không độc hại</v>
      </c>
      <c r="T4" s="38">
        <f t="shared" si="10"/>
        <v>0</v>
      </c>
      <c r="U4" s="8" t="s">
        <v>11</v>
      </c>
      <c r="V4" s="37" t="str">
        <f t="shared" si="11"/>
        <v>Không hưởng ưu đãi nghề</v>
      </c>
      <c r="W4" s="42">
        <f t="shared" si="12"/>
        <v>0</v>
      </c>
      <c r="X4" s="8" t="s">
        <v>11</v>
      </c>
      <c r="Y4" s="37" t="str">
        <f t="shared" si="13"/>
        <v>Không trách nhiệm</v>
      </c>
      <c r="Z4" s="42">
        <f t="shared" si="14"/>
        <v>0</v>
      </c>
      <c r="AA4" s="8" t="s">
        <v>11</v>
      </c>
      <c r="AB4" s="37" t="str">
        <f t="shared" si="15"/>
        <v>Không phụ kiện hợp đồng</v>
      </c>
      <c r="AC4" s="59">
        <f t="shared" si="16"/>
        <v>0</v>
      </c>
      <c r="AD4" s="8" t="s">
        <v>11</v>
      </c>
      <c r="AE4" s="37" t="str">
        <f t="shared" si="17"/>
        <v>Không kiêm nhiệm</v>
      </c>
      <c r="AF4" s="42">
        <f>VLOOKUP(makiemnhiem,kiemnhiem,3,0)*(E4+H4+K4)</f>
        <v>0</v>
      </c>
      <c r="AG4" s="8" t="s">
        <v>11</v>
      </c>
      <c r="AH4" s="37" t="str">
        <f t="shared" si="19"/>
        <v>Không kiêm nhiệm</v>
      </c>
      <c r="AI4" s="38">
        <f>VLOOKUP(_ma1670,_pc11670,3,0)*(E4+H4+K4)</f>
        <v>0</v>
      </c>
      <c r="AJ4" s="8" t="s">
        <v>5</v>
      </c>
      <c r="AK4" s="37" t="str">
        <f t="shared" si="21"/>
        <v>Phụ cấp 116 100%</v>
      </c>
      <c r="AL4" s="38">
        <f t="shared" ref="AL4:AL27" si="22">VLOOKUP(_ma116,pc1165070100,3,0)</f>
        <v>0</v>
      </c>
      <c r="AM4" s="9"/>
      <c r="AN4" s="9" t="s">
        <v>346</v>
      </c>
    </row>
    <row r="5" spans="1:40" x14ac:dyDescent="0.25">
      <c r="A5" s="8" t="s">
        <v>5</v>
      </c>
      <c r="B5" s="9" t="s">
        <v>55</v>
      </c>
      <c r="C5" s="8" t="s">
        <v>9</v>
      </c>
      <c r="D5" s="37" t="str">
        <f t="shared" si="0"/>
        <v>Bậc 07</v>
      </c>
      <c r="E5" s="10">
        <v>4.32</v>
      </c>
      <c r="F5" s="8" t="s">
        <v>4</v>
      </c>
      <c r="G5" s="37" t="str">
        <f t="shared" si="1"/>
        <v>PGĐ</v>
      </c>
      <c r="H5" s="38">
        <f t="shared" si="2"/>
        <v>0.7</v>
      </c>
      <c r="I5" s="8" t="s">
        <v>137</v>
      </c>
      <c r="J5" s="37" t="str">
        <f t="shared" si="3"/>
        <v>Không vượt khung</v>
      </c>
      <c r="K5" s="42">
        <f t="shared" si="4"/>
        <v>0</v>
      </c>
      <c r="L5" s="8" t="s">
        <v>3</v>
      </c>
      <c r="M5" s="37" t="str">
        <f t="shared" si="5"/>
        <v>Hưởng khu vực</v>
      </c>
      <c r="N5" s="37">
        <f t="shared" si="6"/>
        <v>0.2</v>
      </c>
      <c r="O5" s="8" t="s">
        <v>137</v>
      </c>
      <c r="P5" s="37" t="str">
        <f t="shared" si="7"/>
        <v>Không thâm niên nghề</v>
      </c>
      <c r="Q5" s="42">
        <f t="shared" si="8"/>
        <v>0</v>
      </c>
      <c r="R5" s="8" t="s">
        <v>11</v>
      </c>
      <c r="S5" s="37" t="str">
        <f t="shared" si="9"/>
        <v>Không độc hại</v>
      </c>
      <c r="T5" s="38">
        <f t="shared" si="10"/>
        <v>0</v>
      </c>
      <c r="U5" s="8" t="s">
        <v>11</v>
      </c>
      <c r="V5" s="37" t="str">
        <f t="shared" si="11"/>
        <v>Không hưởng ưu đãi nghề</v>
      </c>
      <c r="W5" s="42">
        <f t="shared" si="12"/>
        <v>0</v>
      </c>
      <c r="X5" s="8" t="s">
        <v>11</v>
      </c>
      <c r="Y5" s="37" t="str">
        <f t="shared" si="13"/>
        <v>Không trách nhiệm</v>
      </c>
      <c r="Z5" s="42">
        <f t="shared" si="14"/>
        <v>0</v>
      </c>
      <c r="AA5" s="8" t="s">
        <v>11</v>
      </c>
      <c r="AB5" s="37" t="str">
        <f t="shared" si="15"/>
        <v>Không phụ kiện hợp đồng</v>
      </c>
      <c r="AC5" s="59">
        <f t="shared" si="16"/>
        <v>0</v>
      </c>
      <c r="AD5" s="8" t="s">
        <v>11</v>
      </c>
      <c r="AE5" s="37" t="str">
        <f t="shared" si="17"/>
        <v>Không kiêm nhiệm</v>
      </c>
      <c r="AF5" s="42">
        <f>VLOOKUP(makiemnhiem,kiemnhiem,3,0)*(E5+H5+K5)</f>
        <v>0</v>
      </c>
      <c r="AG5" s="8" t="s">
        <v>11</v>
      </c>
      <c r="AH5" s="37" t="str">
        <f t="shared" si="19"/>
        <v>Không kiêm nhiệm</v>
      </c>
      <c r="AI5" s="38">
        <f>VLOOKUP(_ma1670,_pc11670,3,0)*(E5+H5+K5)</f>
        <v>0</v>
      </c>
      <c r="AJ5" s="8" t="s">
        <v>4</v>
      </c>
      <c r="AK5" s="37" t="str">
        <f t="shared" si="21"/>
        <v>Phụ cấp 116 70%</v>
      </c>
      <c r="AL5" s="38">
        <f t="shared" si="22"/>
        <v>0</v>
      </c>
      <c r="AM5" s="9"/>
      <c r="AN5" s="9" t="s">
        <v>332</v>
      </c>
    </row>
    <row r="6" spans="1:40" x14ac:dyDescent="0.25">
      <c r="A6" s="8" t="s">
        <v>6</v>
      </c>
      <c r="B6" s="9" t="s">
        <v>50</v>
      </c>
      <c r="C6" s="8" t="s">
        <v>8</v>
      </c>
      <c r="D6" s="37" t="str">
        <f t="shared" si="0"/>
        <v>Bậc 06</v>
      </c>
      <c r="E6" s="10">
        <v>3.99</v>
      </c>
      <c r="F6" s="8" t="s">
        <v>5</v>
      </c>
      <c r="G6" s="37" t="str">
        <f t="shared" si="1"/>
        <v>TP</v>
      </c>
      <c r="H6" s="38">
        <f t="shared" si="2"/>
        <v>0.5</v>
      </c>
      <c r="I6" s="8" t="s">
        <v>137</v>
      </c>
      <c r="J6" s="37" t="str">
        <f t="shared" si="3"/>
        <v>Không vượt khung</v>
      </c>
      <c r="K6" s="42">
        <f t="shared" si="4"/>
        <v>0</v>
      </c>
      <c r="L6" s="8" t="s">
        <v>3</v>
      </c>
      <c r="M6" s="37" t="str">
        <f t="shared" si="5"/>
        <v>Hưởng khu vực</v>
      </c>
      <c r="N6" s="37">
        <f t="shared" si="6"/>
        <v>0.2</v>
      </c>
      <c r="O6" s="8" t="s">
        <v>137</v>
      </c>
      <c r="P6" s="37" t="str">
        <f t="shared" si="7"/>
        <v>Không thâm niên nghề</v>
      </c>
      <c r="Q6" s="42">
        <f t="shared" si="8"/>
        <v>0</v>
      </c>
      <c r="R6" s="8" t="s">
        <v>11</v>
      </c>
      <c r="S6" s="37" t="str">
        <f t="shared" si="9"/>
        <v>Không độc hại</v>
      </c>
      <c r="T6" s="38">
        <f t="shared" si="10"/>
        <v>0</v>
      </c>
      <c r="U6" s="8" t="s">
        <v>11</v>
      </c>
      <c r="V6" s="37" t="str">
        <f t="shared" si="11"/>
        <v>Không hưởng ưu đãi nghề</v>
      </c>
      <c r="W6" s="42">
        <f t="shared" si="12"/>
        <v>0</v>
      </c>
      <c r="X6" s="8" t="s">
        <v>3</v>
      </c>
      <c r="Y6" s="37" t="str">
        <f t="shared" si="13"/>
        <v>Trách nhiệm</v>
      </c>
      <c r="Z6" s="42">
        <f t="shared" si="14"/>
        <v>0.1</v>
      </c>
      <c r="AA6" s="8" t="s">
        <v>11</v>
      </c>
      <c r="AB6" s="37" t="str">
        <f t="shared" si="15"/>
        <v>Không phụ kiện hợp đồng</v>
      </c>
      <c r="AC6" s="59">
        <f t="shared" si="16"/>
        <v>0</v>
      </c>
      <c r="AD6" s="8" t="s">
        <v>11</v>
      </c>
      <c r="AE6" s="37" t="str">
        <f t="shared" si="17"/>
        <v>Không kiêm nhiệm</v>
      </c>
      <c r="AF6" s="42">
        <f t="shared" si="18"/>
        <v>0</v>
      </c>
      <c r="AG6" s="8" t="s">
        <v>11</v>
      </c>
      <c r="AH6" s="37" t="str">
        <f t="shared" si="19"/>
        <v>Không kiêm nhiệm</v>
      </c>
      <c r="AI6" s="38">
        <f t="shared" si="20"/>
        <v>0</v>
      </c>
      <c r="AJ6" s="8" t="s">
        <v>4</v>
      </c>
      <c r="AK6" s="37" t="str">
        <f t="shared" si="21"/>
        <v>Phụ cấp 116 70%</v>
      </c>
      <c r="AL6" s="38">
        <f t="shared" si="22"/>
        <v>0</v>
      </c>
      <c r="AM6" s="9"/>
      <c r="AN6" s="9" t="s">
        <v>315</v>
      </c>
    </row>
    <row r="7" spans="1:40" x14ac:dyDescent="0.25">
      <c r="A7" s="8" t="s">
        <v>7</v>
      </c>
      <c r="B7" s="9" t="s">
        <v>54</v>
      </c>
      <c r="C7" s="8" t="s">
        <v>6</v>
      </c>
      <c r="D7" s="37" t="str">
        <f t="shared" si="0"/>
        <v>Bậc 04</v>
      </c>
      <c r="E7" s="10">
        <v>3.33</v>
      </c>
      <c r="F7" s="8" t="s">
        <v>6</v>
      </c>
      <c r="G7" s="37" t="str">
        <f t="shared" si="1"/>
        <v>P.TP</v>
      </c>
      <c r="H7" s="38">
        <f t="shared" si="2"/>
        <v>0.3</v>
      </c>
      <c r="I7" s="8" t="s">
        <v>137</v>
      </c>
      <c r="J7" s="37" t="str">
        <f t="shared" si="3"/>
        <v>Không vượt khung</v>
      </c>
      <c r="K7" s="42">
        <f>(VLOOKUP(mavuotkhung,vuotkhung,3,0))*E7</f>
        <v>0</v>
      </c>
      <c r="L7" s="8" t="s">
        <v>3</v>
      </c>
      <c r="M7" s="37" t="str">
        <f t="shared" si="5"/>
        <v>Hưởng khu vực</v>
      </c>
      <c r="N7" s="37">
        <f t="shared" si="6"/>
        <v>0.2</v>
      </c>
      <c r="O7" s="8" t="s">
        <v>137</v>
      </c>
      <c r="P7" s="37" t="str">
        <f t="shared" si="7"/>
        <v>Không thâm niên nghề</v>
      </c>
      <c r="Q7" s="42">
        <f>(VLOOKUP(mathamniennghe,thamniennghe,3,0))*(E7+H7+K7)</f>
        <v>0</v>
      </c>
      <c r="R7" s="8" t="s">
        <v>11</v>
      </c>
      <c r="S7" s="37" t="str">
        <f t="shared" si="9"/>
        <v>Không độc hại</v>
      </c>
      <c r="T7" s="38">
        <f t="shared" si="10"/>
        <v>0</v>
      </c>
      <c r="U7" s="8" t="s">
        <v>11</v>
      </c>
      <c r="V7" s="37" t="str">
        <f t="shared" si="11"/>
        <v>Không hưởng ưu đãi nghề</v>
      </c>
      <c r="W7" s="42">
        <f>(VLOOKUP(mauudainghe,uudainghe,3,0))*(E7+H7+K7)</f>
        <v>0</v>
      </c>
      <c r="X7" s="8" t="s">
        <v>11</v>
      </c>
      <c r="Y7" s="37" t="str">
        <f t="shared" si="13"/>
        <v>Không trách nhiệm</v>
      </c>
      <c r="Z7" s="42">
        <f t="shared" si="14"/>
        <v>0</v>
      </c>
      <c r="AA7" s="8" t="s">
        <v>11</v>
      </c>
      <c r="AB7" s="37" t="str">
        <f t="shared" si="15"/>
        <v>Không phụ kiện hợp đồng</v>
      </c>
      <c r="AC7" s="59">
        <f t="shared" si="16"/>
        <v>0</v>
      </c>
      <c r="AD7" s="8" t="s">
        <v>11</v>
      </c>
      <c r="AE7" s="37" t="str">
        <f t="shared" si="17"/>
        <v>Không kiêm nhiệm</v>
      </c>
      <c r="AF7" s="42">
        <f>VLOOKUP(makiemnhiem,kiemnhiem,3,0)*(E7+H7+K7)</f>
        <v>0</v>
      </c>
      <c r="AG7" s="8" t="s">
        <v>11</v>
      </c>
      <c r="AH7" s="37" t="str">
        <f t="shared" si="19"/>
        <v>Không kiêm nhiệm</v>
      </c>
      <c r="AI7" s="38">
        <f>VLOOKUP(_ma1670,_pc11670,3,0)*(E7+H7+K7)</f>
        <v>0</v>
      </c>
      <c r="AJ7" s="8" t="s">
        <v>4</v>
      </c>
      <c r="AK7" s="37" t="str">
        <f t="shared" si="21"/>
        <v>Phụ cấp 116 70%</v>
      </c>
      <c r="AL7" s="38">
        <f t="shared" si="22"/>
        <v>0</v>
      </c>
      <c r="AM7" s="9"/>
      <c r="AN7" s="9" t="s">
        <v>342</v>
      </c>
    </row>
    <row r="8" spans="1:40" x14ac:dyDescent="0.25">
      <c r="A8" s="8" t="s">
        <v>8</v>
      </c>
      <c r="B8" s="9" t="s">
        <v>52</v>
      </c>
      <c r="C8" s="8" t="s">
        <v>12</v>
      </c>
      <c r="D8" s="37" t="str">
        <f t="shared" si="0"/>
        <v>Bậc 10</v>
      </c>
      <c r="E8" s="10">
        <v>3.66</v>
      </c>
      <c r="F8" s="8" t="s">
        <v>8</v>
      </c>
      <c r="G8" s="37" t="str">
        <f t="shared" si="1"/>
        <v>TQ</v>
      </c>
      <c r="H8" s="38">
        <f t="shared" si="2"/>
        <v>0</v>
      </c>
      <c r="I8" s="8" t="s">
        <v>137</v>
      </c>
      <c r="J8" s="37" t="str">
        <f t="shared" si="3"/>
        <v>Không vượt khung</v>
      </c>
      <c r="K8" s="42">
        <f t="shared" si="4"/>
        <v>0</v>
      </c>
      <c r="L8" s="8" t="s">
        <v>3</v>
      </c>
      <c r="M8" s="37" t="str">
        <f t="shared" si="5"/>
        <v>Hưởng khu vực</v>
      </c>
      <c r="N8" s="37">
        <f t="shared" si="6"/>
        <v>0.2</v>
      </c>
      <c r="O8" s="8" t="s">
        <v>137</v>
      </c>
      <c r="P8" s="37" t="str">
        <f t="shared" si="7"/>
        <v>Không thâm niên nghề</v>
      </c>
      <c r="Q8" s="42">
        <f t="shared" si="8"/>
        <v>0</v>
      </c>
      <c r="R8" s="8" t="s">
        <v>11</v>
      </c>
      <c r="S8" s="37" t="str">
        <f t="shared" si="9"/>
        <v>Không độc hại</v>
      </c>
      <c r="T8" s="38">
        <f t="shared" si="10"/>
        <v>0</v>
      </c>
      <c r="U8" s="8" t="s">
        <v>11</v>
      </c>
      <c r="V8" s="37" t="str">
        <f t="shared" si="11"/>
        <v>Không hưởng ưu đãi nghề</v>
      </c>
      <c r="W8" s="42">
        <f t="shared" si="12"/>
        <v>0</v>
      </c>
      <c r="X8" s="8" t="s">
        <v>3</v>
      </c>
      <c r="Y8" s="37" t="str">
        <f t="shared" si="13"/>
        <v>Trách nhiệm</v>
      </c>
      <c r="Z8" s="42">
        <f t="shared" si="14"/>
        <v>0.1</v>
      </c>
      <c r="AA8" s="8" t="s">
        <v>11</v>
      </c>
      <c r="AB8" s="37" t="str">
        <f t="shared" si="15"/>
        <v>Không phụ kiện hợp đồng</v>
      </c>
      <c r="AC8" s="59">
        <f t="shared" si="16"/>
        <v>0</v>
      </c>
      <c r="AD8" s="8" t="s">
        <v>11</v>
      </c>
      <c r="AE8" s="37" t="str">
        <f t="shared" si="17"/>
        <v>Không kiêm nhiệm</v>
      </c>
      <c r="AF8" s="42">
        <f t="shared" si="18"/>
        <v>0</v>
      </c>
      <c r="AG8" s="8" t="s">
        <v>11</v>
      </c>
      <c r="AH8" s="37" t="str">
        <f t="shared" si="19"/>
        <v>Không kiêm nhiệm</v>
      </c>
      <c r="AI8" s="38">
        <f t="shared" si="20"/>
        <v>0</v>
      </c>
      <c r="AJ8" s="8" t="s">
        <v>5</v>
      </c>
      <c r="AK8" s="37" t="str">
        <f t="shared" si="21"/>
        <v>Phụ cấp 116 100%</v>
      </c>
      <c r="AL8" s="38">
        <f t="shared" si="22"/>
        <v>0</v>
      </c>
      <c r="AM8" s="9"/>
      <c r="AN8" s="9" t="s">
        <v>347</v>
      </c>
    </row>
    <row r="9" spans="1:40" x14ac:dyDescent="0.25">
      <c r="A9" s="8" t="s">
        <v>9</v>
      </c>
      <c r="B9" s="9" t="s">
        <v>56</v>
      </c>
      <c r="C9" s="8" t="s">
        <v>8</v>
      </c>
      <c r="D9" s="37" t="str">
        <f t="shared" si="0"/>
        <v>Bậc 06</v>
      </c>
      <c r="E9" s="10">
        <v>3.99</v>
      </c>
      <c r="F9" s="8" t="s">
        <v>5</v>
      </c>
      <c r="G9" s="37" t="str">
        <f t="shared" si="1"/>
        <v>TP</v>
      </c>
      <c r="H9" s="38">
        <f t="shared" si="2"/>
        <v>0.5</v>
      </c>
      <c r="I9" s="8" t="s">
        <v>137</v>
      </c>
      <c r="J9" s="37" t="str">
        <f t="shared" si="3"/>
        <v>Không vượt khung</v>
      </c>
      <c r="K9" s="42">
        <f t="shared" si="4"/>
        <v>0</v>
      </c>
      <c r="L9" s="8" t="s">
        <v>3</v>
      </c>
      <c r="M9" s="37" t="str">
        <f t="shared" si="5"/>
        <v>Hưởng khu vực</v>
      </c>
      <c r="N9" s="37">
        <f t="shared" si="6"/>
        <v>0.2</v>
      </c>
      <c r="O9" s="8" t="s">
        <v>137</v>
      </c>
      <c r="P9" s="37" t="str">
        <f t="shared" si="7"/>
        <v>Không thâm niên nghề</v>
      </c>
      <c r="Q9" s="42">
        <f t="shared" si="8"/>
        <v>0</v>
      </c>
      <c r="R9" s="8" t="s">
        <v>11</v>
      </c>
      <c r="S9" s="37" t="str">
        <f t="shared" si="9"/>
        <v>Không độc hại</v>
      </c>
      <c r="T9" s="38">
        <f t="shared" si="10"/>
        <v>0</v>
      </c>
      <c r="U9" s="8" t="s">
        <v>11</v>
      </c>
      <c r="V9" s="37" t="str">
        <f t="shared" si="11"/>
        <v>Không hưởng ưu đãi nghề</v>
      </c>
      <c r="W9" s="42">
        <f t="shared" si="12"/>
        <v>0</v>
      </c>
      <c r="X9" s="8" t="s">
        <v>11</v>
      </c>
      <c r="Y9" s="37" t="str">
        <f t="shared" si="13"/>
        <v>Không trách nhiệm</v>
      </c>
      <c r="Z9" s="42">
        <f t="shared" si="14"/>
        <v>0</v>
      </c>
      <c r="AA9" s="8" t="s">
        <v>11</v>
      </c>
      <c r="AB9" s="37" t="str">
        <f t="shared" si="15"/>
        <v>Không phụ kiện hợp đồng</v>
      </c>
      <c r="AC9" s="59">
        <f t="shared" si="16"/>
        <v>0</v>
      </c>
      <c r="AD9" s="8" t="s">
        <v>11</v>
      </c>
      <c r="AE9" s="37" t="str">
        <f t="shared" si="17"/>
        <v>Không kiêm nhiệm</v>
      </c>
      <c r="AF9" s="42">
        <f t="shared" si="18"/>
        <v>0</v>
      </c>
      <c r="AG9" s="8" t="s">
        <v>11</v>
      </c>
      <c r="AH9" s="37" t="str">
        <f t="shared" si="19"/>
        <v>Không kiêm nhiệm</v>
      </c>
      <c r="AI9" s="38">
        <f t="shared" si="20"/>
        <v>0</v>
      </c>
      <c r="AJ9" s="8" t="s">
        <v>4</v>
      </c>
      <c r="AK9" s="37" t="str">
        <f t="shared" si="21"/>
        <v>Phụ cấp 116 70%</v>
      </c>
      <c r="AL9" s="38">
        <f t="shared" si="22"/>
        <v>0</v>
      </c>
      <c r="AM9" s="9"/>
      <c r="AN9" s="9" t="s">
        <v>315</v>
      </c>
    </row>
    <row r="10" spans="1:40" x14ac:dyDescent="0.25">
      <c r="A10" s="8" t="s">
        <v>10</v>
      </c>
      <c r="B10" s="9" t="s">
        <v>58</v>
      </c>
      <c r="C10" s="8" t="s">
        <v>7</v>
      </c>
      <c r="D10" s="37" t="str">
        <f t="shared" si="0"/>
        <v>Bậc 05</v>
      </c>
      <c r="E10" s="10">
        <v>3.66</v>
      </c>
      <c r="F10" s="8" t="s">
        <v>6</v>
      </c>
      <c r="G10" s="37" t="str">
        <f t="shared" si="1"/>
        <v>P.TP</v>
      </c>
      <c r="H10" s="38">
        <f t="shared" si="2"/>
        <v>0.3</v>
      </c>
      <c r="I10" s="8" t="s">
        <v>137</v>
      </c>
      <c r="J10" s="37" t="str">
        <f t="shared" si="3"/>
        <v>Không vượt khung</v>
      </c>
      <c r="K10" s="42">
        <f t="shared" si="4"/>
        <v>0</v>
      </c>
      <c r="L10" s="8" t="s">
        <v>3</v>
      </c>
      <c r="M10" s="37" t="str">
        <f t="shared" si="5"/>
        <v>Hưởng khu vực</v>
      </c>
      <c r="N10" s="37">
        <f t="shared" si="6"/>
        <v>0.2</v>
      </c>
      <c r="O10" s="8" t="s">
        <v>137</v>
      </c>
      <c r="P10" s="37" t="str">
        <f t="shared" si="7"/>
        <v>Không thâm niên nghề</v>
      </c>
      <c r="Q10" s="42">
        <f t="shared" si="8"/>
        <v>0</v>
      </c>
      <c r="R10" s="8" t="s">
        <v>11</v>
      </c>
      <c r="S10" s="37" t="str">
        <f t="shared" si="9"/>
        <v>Không độc hại</v>
      </c>
      <c r="T10" s="38">
        <f t="shared" si="10"/>
        <v>0</v>
      </c>
      <c r="U10" s="8" t="s">
        <v>11</v>
      </c>
      <c r="V10" s="37" t="str">
        <f t="shared" si="11"/>
        <v>Không hưởng ưu đãi nghề</v>
      </c>
      <c r="W10" s="42">
        <f t="shared" si="12"/>
        <v>0</v>
      </c>
      <c r="X10" s="8" t="s">
        <v>11</v>
      </c>
      <c r="Y10" s="37" t="str">
        <f t="shared" si="13"/>
        <v>Không trách nhiệm</v>
      </c>
      <c r="Z10" s="42">
        <f t="shared" si="14"/>
        <v>0</v>
      </c>
      <c r="AA10" s="8" t="s">
        <v>11</v>
      </c>
      <c r="AB10" s="37" t="str">
        <f t="shared" si="15"/>
        <v>Không phụ kiện hợp đồng</v>
      </c>
      <c r="AC10" s="59">
        <f t="shared" si="16"/>
        <v>0</v>
      </c>
      <c r="AD10" s="8" t="s">
        <v>11</v>
      </c>
      <c r="AE10" s="37" t="str">
        <f t="shared" si="17"/>
        <v>Không kiêm nhiệm</v>
      </c>
      <c r="AF10" s="42">
        <f t="shared" si="18"/>
        <v>0</v>
      </c>
      <c r="AG10" s="8" t="s">
        <v>11</v>
      </c>
      <c r="AH10" s="37" t="str">
        <f t="shared" si="19"/>
        <v>Không kiêm nhiệm</v>
      </c>
      <c r="AI10" s="38">
        <f t="shared" si="20"/>
        <v>0</v>
      </c>
      <c r="AJ10" s="8" t="s">
        <v>4</v>
      </c>
      <c r="AK10" s="37" t="str">
        <f t="shared" si="21"/>
        <v>Phụ cấp 116 70%</v>
      </c>
      <c r="AL10" s="38">
        <f t="shared" si="22"/>
        <v>0</v>
      </c>
      <c r="AM10" s="9"/>
      <c r="AN10" s="9"/>
    </row>
    <row r="11" spans="1:40" x14ac:dyDescent="0.25">
      <c r="A11" s="8" t="s">
        <v>11</v>
      </c>
      <c r="B11" s="9" t="s">
        <v>59</v>
      </c>
      <c r="C11" s="8" t="s">
        <v>6</v>
      </c>
      <c r="D11" s="37" t="str">
        <f t="shared" si="0"/>
        <v>Bậc 04</v>
      </c>
      <c r="E11" s="10">
        <v>3.33</v>
      </c>
      <c r="F11" s="8" t="s">
        <v>7</v>
      </c>
      <c r="G11" s="37" t="str">
        <f t="shared" si="1"/>
        <v>NV</v>
      </c>
      <c r="H11" s="38">
        <f t="shared" si="2"/>
        <v>0</v>
      </c>
      <c r="I11" s="8" t="s">
        <v>137</v>
      </c>
      <c r="J11" s="37" t="str">
        <f t="shared" si="3"/>
        <v>Không vượt khung</v>
      </c>
      <c r="K11" s="42">
        <f t="shared" si="4"/>
        <v>0</v>
      </c>
      <c r="L11" s="8" t="s">
        <v>3</v>
      </c>
      <c r="M11" s="37" t="str">
        <f t="shared" si="5"/>
        <v>Hưởng khu vực</v>
      </c>
      <c r="N11" s="37">
        <f t="shared" si="6"/>
        <v>0.2</v>
      </c>
      <c r="O11" s="8" t="s">
        <v>137</v>
      </c>
      <c r="P11" s="37" t="str">
        <f t="shared" si="7"/>
        <v>Không thâm niên nghề</v>
      </c>
      <c r="Q11" s="42">
        <f t="shared" si="8"/>
        <v>0</v>
      </c>
      <c r="R11" s="8" t="s">
        <v>11</v>
      </c>
      <c r="S11" s="37" t="str">
        <f t="shared" si="9"/>
        <v>Không độc hại</v>
      </c>
      <c r="T11" s="38">
        <f t="shared" si="10"/>
        <v>0</v>
      </c>
      <c r="U11" s="8" t="s">
        <v>11</v>
      </c>
      <c r="V11" s="37" t="str">
        <f t="shared" si="11"/>
        <v>Không hưởng ưu đãi nghề</v>
      </c>
      <c r="W11" s="42">
        <f t="shared" si="12"/>
        <v>0</v>
      </c>
      <c r="X11" s="8" t="s">
        <v>11</v>
      </c>
      <c r="Y11" s="37" t="str">
        <f t="shared" si="13"/>
        <v>Không trách nhiệm</v>
      </c>
      <c r="Z11" s="42">
        <f t="shared" si="14"/>
        <v>0</v>
      </c>
      <c r="AA11" s="8" t="s">
        <v>11</v>
      </c>
      <c r="AB11" s="37" t="str">
        <f t="shared" si="15"/>
        <v>Không phụ kiện hợp đồng</v>
      </c>
      <c r="AC11" s="59">
        <f t="shared" si="16"/>
        <v>0</v>
      </c>
      <c r="AD11" s="8" t="s">
        <v>11</v>
      </c>
      <c r="AE11" s="37" t="str">
        <f t="shared" si="17"/>
        <v>Không kiêm nhiệm</v>
      </c>
      <c r="AF11" s="42">
        <f t="shared" si="18"/>
        <v>0</v>
      </c>
      <c r="AG11" s="8" t="s">
        <v>11</v>
      </c>
      <c r="AH11" s="37" t="str">
        <f t="shared" si="19"/>
        <v>Không kiêm nhiệm</v>
      </c>
      <c r="AI11" s="38">
        <f t="shared" si="20"/>
        <v>0</v>
      </c>
      <c r="AJ11" s="8" t="s">
        <v>3</v>
      </c>
      <c r="AK11" s="37" t="str">
        <f t="shared" si="21"/>
        <v>Phụ cấp 116 50%</v>
      </c>
      <c r="AL11" s="38">
        <f t="shared" si="22"/>
        <v>0</v>
      </c>
      <c r="AM11" s="9"/>
      <c r="AN11" s="9" t="s">
        <v>354</v>
      </c>
    </row>
    <row r="12" spans="1:40" x14ac:dyDescent="0.25">
      <c r="A12" s="8" t="s">
        <v>12</v>
      </c>
      <c r="B12" s="119" t="s">
        <v>285</v>
      </c>
      <c r="C12" s="8" t="s">
        <v>5</v>
      </c>
      <c r="D12" s="37" t="str">
        <f t="shared" si="0"/>
        <v>Bậc 03</v>
      </c>
      <c r="E12" s="10">
        <v>3</v>
      </c>
      <c r="F12" s="8" t="s">
        <v>7</v>
      </c>
      <c r="G12" s="37" t="str">
        <f t="shared" si="1"/>
        <v>NV</v>
      </c>
      <c r="H12" s="38">
        <f t="shared" si="2"/>
        <v>0</v>
      </c>
      <c r="I12" s="8" t="s">
        <v>137</v>
      </c>
      <c r="J12" s="37" t="str">
        <f t="shared" si="3"/>
        <v>Không vượt khung</v>
      </c>
      <c r="K12" s="42">
        <f t="shared" si="4"/>
        <v>0</v>
      </c>
      <c r="L12" s="8" t="s">
        <v>3</v>
      </c>
      <c r="M12" s="37" t="str">
        <f t="shared" si="5"/>
        <v>Hưởng khu vực</v>
      </c>
      <c r="N12" s="37">
        <f t="shared" si="6"/>
        <v>0.2</v>
      </c>
      <c r="O12" s="8" t="s">
        <v>137</v>
      </c>
      <c r="P12" s="37" t="str">
        <f t="shared" si="7"/>
        <v>Không thâm niên nghề</v>
      </c>
      <c r="Q12" s="42">
        <f t="shared" si="8"/>
        <v>0</v>
      </c>
      <c r="R12" s="8" t="s">
        <v>11</v>
      </c>
      <c r="S12" s="37" t="str">
        <f t="shared" si="9"/>
        <v>Không độc hại</v>
      </c>
      <c r="T12" s="38">
        <f t="shared" si="10"/>
        <v>0</v>
      </c>
      <c r="U12" s="8" t="s">
        <v>11</v>
      </c>
      <c r="V12" s="37" t="str">
        <f t="shared" si="11"/>
        <v>Không hưởng ưu đãi nghề</v>
      </c>
      <c r="W12" s="42">
        <f t="shared" si="12"/>
        <v>0</v>
      </c>
      <c r="X12" s="8" t="s">
        <v>11</v>
      </c>
      <c r="Y12" s="37" t="str">
        <f t="shared" si="13"/>
        <v>Không trách nhiệm</v>
      </c>
      <c r="Z12" s="42">
        <f t="shared" si="14"/>
        <v>0</v>
      </c>
      <c r="AA12" s="8" t="s">
        <v>11</v>
      </c>
      <c r="AB12" s="37" t="str">
        <f t="shared" si="15"/>
        <v>Không phụ kiện hợp đồng</v>
      </c>
      <c r="AC12" s="59">
        <f t="shared" si="16"/>
        <v>0</v>
      </c>
      <c r="AD12" s="8" t="s">
        <v>11</v>
      </c>
      <c r="AE12" s="37" t="str">
        <f t="shared" si="17"/>
        <v>Không kiêm nhiệm</v>
      </c>
      <c r="AF12" s="42">
        <f t="shared" si="18"/>
        <v>0</v>
      </c>
      <c r="AG12" s="8" t="s">
        <v>11</v>
      </c>
      <c r="AH12" s="37" t="str">
        <f t="shared" si="19"/>
        <v>Không kiêm nhiệm</v>
      </c>
      <c r="AI12" s="38">
        <f t="shared" si="20"/>
        <v>0</v>
      </c>
      <c r="AJ12" s="8" t="s">
        <v>3</v>
      </c>
      <c r="AK12" s="37" t="str">
        <f t="shared" si="21"/>
        <v>Phụ cấp 116 50%</v>
      </c>
      <c r="AL12" s="38">
        <f t="shared" si="22"/>
        <v>0</v>
      </c>
      <c r="AM12" s="9"/>
      <c r="AN12" s="9"/>
    </row>
    <row r="13" spans="1:40" x14ac:dyDescent="0.25">
      <c r="A13" s="8" t="s">
        <v>13</v>
      </c>
      <c r="B13" s="119" t="s">
        <v>341</v>
      </c>
      <c r="C13" s="8" t="s">
        <v>5</v>
      </c>
      <c r="D13" s="37" t="str">
        <f t="shared" si="0"/>
        <v>Bậc 03</v>
      </c>
      <c r="E13" s="10">
        <v>3</v>
      </c>
      <c r="F13" s="8" t="s">
        <v>7</v>
      </c>
      <c r="G13" s="37" t="str">
        <f t="shared" si="1"/>
        <v>NV</v>
      </c>
      <c r="H13" s="38">
        <f t="shared" si="2"/>
        <v>0</v>
      </c>
      <c r="I13" s="8" t="s">
        <v>137</v>
      </c>
      <c r="J13" s="37" t="str">
        <f t="shared" si="3"/>
        <v>Không vượt khung</v>
      </c>
      <c r="K13" s="42">
        <f>(VLOOKUP(mavuotkhung,vuotkhung,3,0))*E13</f>
        <v>0</v>
      </c>
      <c r="L13" s="8" t="s">
        <v>3</v>
      </c>
      <c r="M13" s="37" t="str">
        <f t="shared" si="5"/>
        <v>Hưởng khu vực</v>
      </c>
      <c r="N13" s="37">
        <f t="shared" si="6"/>
        <v>0.2</v>
      </c>
      <c r="O13" s="8" t="s">
        <v>137</v>
      </c>
      <c r="P13" s="37" t="str">
        <f t="shared" si="7"/>
        <v>Không thâm niên nghề</v>
      </c>
      <c r="Q13" s="42">
        <f>(VLOOKUP(mathamniennghe,thamniennghe,3,0))*(E13+H13+K13)</f>
        <v>0</v>
      </c>
      <c r="R13" s="8" t="s">
        <v>11</v>
      </c>
      <c r="S13" s="37" t="str">
        <f t="shared" si="9"/>
        <v>Không độc hại</v>
      </c>
      <c r="T13" s="38">
        <f t="shared" si="10"/>
        <v>0</v>
      </c>
      <c r="U13" s="8" t="s">
        <v>11</v>
      </c>
      <c r="V13" s="37" t="str">
        <f t="shared" si="11"/>
        <v>Không hưởng ưu đãi nghề</v>
      </c>
      <c r="W13" s="42">
        <f>(VLOOKUP(mauudainghe,uudainghe,3,0))*(E13+H13+K13)</f>
        <v>0</v>
      </c>
      <c r="X13" s="8" t="s">
        <v>11</v>
      </c>
      <c r="Y13" s="37" t="str">
        <f t="shared" si="13"/>
        <v>Không trách nhiệm</v>
      </c>
      <c r="Z13" s="42">
        <f t="shared" si="14"/>
        <v>0</v>
      </c>
      <c r="AA13" s="8" t="s">
        <v>11</v>
      </c>
      <c r="AB13" s="37" t="str">
        <f t="shared" si="15"/>
        <v>Không phụ kiện hợp đồng</v>
      </c>
      <c r="AC13" s="59">
        <f t="shared" si="16"/>
        <v>0</v>
      </c>
      <c r="AD13" s="8" t="s">
        <v>11</v>
      </c>
      <c r="AE13" s="37" t="str">
        <f t="shared" si="17"/>
        <v>Không kiêm nhiệm</v>
      </c>
      <c r="AF13" s="42">
        <f>VLOOKUP(makiemnhiem,kiemnhiem,3,0)*(E13+H13+K13)</f>
        <v>0</v>
      </c>
      <c r="AG13" s="8" t="s">
        <v>3</v>
      </c>
      <c r="AH13" s="37" t="str">
        <f t="shared" si="19"/>
        <v>Phu cấp 116 70%</v>
      </c>
      <c r="AI13" s="38">
        <f>VLOOKUP(_ma1670,_pc11670,3,0)*(E13+H13+K13)</f>
        <v>0</v>
      </c>
      <c r="AJ13" s="8" t="s">
        <v>11</v>
      </c>
      <c r="AK13" s="37" t="str">
        <f t="shared" si="21"/>
        <v>Khác</v>
      </c>
      <c r="AL13" s="38">
        <f t="shared" si="22"/>
        <v>0</v>
      </c>
      <c r="AM13" s="9"/>
      <c r="AN13" s="9"/>
    </row>
    <row r="14" spans="1:40" x14ac:dyDescent="0.25">
      <c r="A14" s="8" t="s">
        <v>14</v>
      </c>
      <c r="B14" s="119" t="s">
        <v>51</v>
      </c>
      <c r="C14" s="8" t="s">
        <v>7</v>
      </c>
      <c r="D14" s="37" t="str">
        <f t="shared" si="0"/>
        <v>Bậc 05</v>
      </c>
      <c r="E14" s="10">
        <v>3.66</v>
      </c>
      <c r="F14" s="8" t="s">
        <v>6</v>
      </c>
      <c r="G14" s="37" t="str">
        <f t="shared" si="1"/>
        <v>P.TP</v>
      </c>
      <c r="H14" s="38">
        <f t="shared" si="2"/>
        <v>0.3</v>
      </c>
      <c r="I14" s="8" t="s">
        <v>137</v>
      </c>
      <c r="J14" s="37" t="str">
        <f t="shared" si="3"/>
        <v>Không vượt khung</v>
      </c>
      <c r="K14" s="42">
        <f>(VLOOKUP(mavuotkhung,vuotkhung,3,0))*E14</f>
        <v>0</v>
      </c>
      <c r="L14" s="8" t="s">
        <v>3</v>
      </c>
      <c r="M14" s="37" t="str">
        <f t="shared" si="5"/>
        <v>Hưởng khu vực</v>
      </c>
      <c r="N14" s="37">
        <f t="shared" si="6"/>
        <v>0.2</v>
      </c>
      <c r="O14" s="8" t="s">
        <v>137</v>
      </c>
      <c r="P14" s="37" t="str">
        <f t="shared" si="7"/>
        <v>Không thâm niên nghề</v>
      </c>
      <c r="Q14" s="42">
        <f>(VLOOKUP(mathamniennghe,thamniennghe,3,0))*(E14+H14+K14)</f>
        <v>0</v>
      </c>
      <c r="R14" s="8" t="s">
        <v>11</v>
      </c>
      <c r="S14" s="37" t="str">
        <f t="shared" si="9"/>
        <v>Không độc hại</v>
      </c>
      <c r="T14" s="38">
        <f t="shared" si="10"/>
        <v>0</v>
      </c>
      <c r="U14" s="8" t="s">
        <v>11</v>
      </c>
      <c r="V14" s="37" t="str">
        <f t="shared" si="11"/>
        <v>Không hưởng ưu đãi nghề</v>
      </c>
      <c r="W14" s="42">
        <f>(VLOOKUP(mauudainghe,uudainghe,3,0))*(E14+H14+K14)</f>
        <v>0</v>
      </c>
      <c r="X14" s="8" t="s">
        <v>11</v>
      </c>
      <c r="Y14" s="37" t="str">
        <f t="shared" si="13"/>
        <v>Không trách nhiệm</v>
      </c>
      <c r="Z14" s="42">
        <f t="shared" si="14"/>
        <v>0</v>
      </c>
      <c r="AA14" s="8" t="s">
        <v>11</v>
      </c>
      <c r="AB14" s="37" t="str">
        <f t="shared" si="15"/>
        <v>Không phụ kiện hợp đồng</v>
      </c>
      <c r="AC14" s="59">
        <f t="shared" si="16"/>
        <v>0</v>
      </c>
      <c r="AD14" s="8" t="s">
        <v>11</v>
      </c>
      <c r="AE14" s="37" t="str">
        <f t="shared" si="17"/>
        <v>Không kiêm nhiệm</v>
      </c>
      <c r="AF14" s="42">
        <f>VLOOKUP(makiemnhiem,kiemnhiem,3,0)*(E14+H14+K14)</f>
        <v>0</v>
      </c>
      <c r="AG14" s="8" t="s">
        <v>11</v>
      </c>
      <c r="AH14" s="37" t="str">
        <f t="shared" si="19"/>
        <v>Không kiêm nhiệm</v>
      </c>
      <c r="AI14" s="38">
        <f>VLOOKUP(_ma1670,_pc11670,3,0)*(E14+H14+K14)</f>
        <v>0</v>
      </c>
      <c r="AJ14" s="8" t="s">
        <v>4</v>
      </c>
      <c r="AK14" s="37" t="str">
        <f t="shared" si="21"/>
        <v>Phụ cấp 116 70%</v>
      </c>
      <c r="AL14" s="38">
        <f t="shared" si="22"/>
        <v>0</v>
      </c>
      <c r="AM14" s="9"/>
      <c r="AN14" s="9" t="s">
        <v>342</v>
      </c>
    </row>
    <row r="15" spans="1:40" x14ac:dyDescent="0.25">
      <c r="A15" s="8" t="s">
        <v>32</v>
      </c>
      <c r="B15" s="119" t="s">
        <v>252</v>
      </c>
      <c r="C15" s="8" t="s">
        <v>5</v>
      </c>
      <c r="D15" s="37" t="str">
        <f t="shared" si="0"/>
        <v>Bậc 03</v>
      </c>
      <c r="E15" s="10">
        <v>3</v>
      </c>
      <c r="F15" s="8" t="s">
        <v>7</v>
      </c>
      <c r="G15" s="37" t="str">
        <f t="shared" si="1"/>
        <v>NV</v>
      </c>
      <c r="H15" s="38">
        <f t="shared" si="2"/>
        <v>0</v>
      </c>
      <c r="I15" s="8" t="s">
        <v>137</v>
      </c>
      <c r="J15" s="37" t="str">
        <f t="shared" si="3"/>
        <v>Không vượt khung</v>
      </c>
      <c r="K15" s="42">
        <f>(VLOOKUP(mavuotkhung,vuotkhung,3,0))*E15</f>
        <v>0</v>
      </c>
      <c r="L15" s="8" t="s">
        <v>3</v>
      </c>
      <c r="M15" s="37" t="str">
        <f t="shared" si="5"/>
        <v>Hưởng khu vực</v>
      </c>
      <c r="N15" s="37">
        <f t="shared" si="6"/>
        <v>0.2</v>
      </c>
      <c r="O15" s="8" t="s">
        <v>137</v>
      </c>
      <c r="P15" s="37" t="str">
        <f t="shared" si="7"/>
        <v>Không thâm niên nghề</v>
      </c>
      <c r="Q15" s="42">
        <f>(VLOOKUP(mathamniennghe,thamniennghe,3,0))*(E15+H15+K15)</f>
        <v>0</v>
      </c>
      <c r="R15" s="8" t="s">
        <v>11</v>
      </c>
      <c r="S15" s="37" t="str">
        <f t="shared" si="9"/>
        <v>Không độc hại</v>
      </c>
      <c r="T15" s="38">
        <f t="shared" si="10"/>
        <v>0</v>
      </c>
      <c r="U15" s="8" t="s">
        <v>11</v>
      </c>
      <c r="V15" s="37" t="str">
        <f t="shared" si="11"/>
        <v>Không hưởng ưu đãi nghề</v>
      </c>
      <c r="W15" s="42">
        <f>(VLOOKUP(mauudainghe,uudainghe,3,0))*(E15+H15+K15)</f>
        <v>0</v>
      </c>
      <c r="X15" s="8" t="s">
        <v>11</v>
      </c>
      <c r="Y15" s="37" t="str">
        <f t="shared" si="13"/>
        <v>Không trách nhiệm</v>
      </c>
      <c r="Z15" s="42">
        <f t="shared" si="14"/>
        <v>0</v>
      </c>
      <c r="AA15" s="8" t="s">
        <v>11</v>
      </c>
      <c r="AB15" s="37" t="str">
        <f t="shared" si="15"/>
        <v>Không phụ kiện hợp đồng</v>
      </c>
      <c r="AC15" s="59">
        <f t="shared" si="16"/>
        <v>0</v>
      </c>
      <c r="AD15" s="8" t="s">
        <v>11</v>
      </c>
      <c r="AE15" s="37" t="str">
        <f t="shared" si="17"/>
        <v>Không kiêm nhiệm</v>
      </c>
      <c r="AF15" s="42">
        <f>VLOOKUP(makiemnhiem,kiemnhiem,3,0)*(E15+H15+K15)</f>
        <v>0</v>
      </c>
      <c r="AG15" s="8" t="s">
        <v>3</v>
      </c>
      <c r="AH15" s="37" t="str">
        <f t="shared" si="19"/>
        <v>Phu cấp 116 70%</v>
      </c>
      <c r="AI15" s="38">
        <f>VLOOKUP(_ma1670,_pc11670,3,0)*(E15+H15+K15)</f>
        <v>0</v>
      </c>
      <c r="AJ15" s="8" t="s">
        <v>3</v>
      </c>
      <c r="AK15" s="37" t="str">
        <f t="shared" si="21"/>
        <v>Phụ cấp 116 50%</v>
      </c>
      <c r="AL15" s="38">
        <f t="shared" si="22"/>
        <v>0</v>
      </c>
      <c r="AM15" s="9"/>
      <c r="AN15" s="100" t="s">
        <v>358</v>
      </c>
    </row>
    <row r="16" spans="1:40" x14ac:dyDescent="0.25">
      <c r="A16" s="8" t="s">
        <v>33</v>
      </c>
      <c r="B16" s="119" t="s">
        <v>218</v>
      </c>
      <c r="C16" s="8" t="s">
        <v>6</v>
      </c>
      <c r="D16" s="37" t="str">
        <f t="shared" si="0"/>
        <v>Bậc 04</v>
      </c>
      <c r="E16" s="10">
        <v>5.42</v>
      </c>
      <c r="F16" s="8" t="s">
        <v>7</v>
      </c>
      <c r="G16" s="37" t="str">
        <f t="shared" si="1"/>
        <v>NV</v>
      </c>
      <c r="H16" s="38">
        <f t="shared" si="2"/>
        <v>0</v>
      </c>
      <c r="I16" s="8" t="s">
        <v>137</v>
      </c>
      <c r="J16" s="37" t="str">
        <f t="shared" si="3"/>
        <v>Không vượt khung</v>
      </c>
      <c r="K16" s="42">
        <f t="shared" ref="K16:K23" si="23">(VLOOKUP(mavuotkhung,vuotkhung,3,0))*E16</f>
        <v>0</v>
      </c>
      <c r="L16" s="8" t="s">
        <v>3</v>
      </c>
      <c r="M16" s="37" t="str">
        <f t="shared" si="5"/>
        <v>Hưởng khu vực</v>
      </c>
      <c r="N16" s="37">
        <f t="shared" si="6"/>
        <v>0.2</v>
      </c>
      <c r="O16" s="8" t="s">
        <v>47</v>
      </c>
      <c r="P16" s="37" t="str">
        <f t="shared" si="7"/>
        <v>Thâm niên nghề 29%</v>
      </c>
      <c r="Q16" s="42">
        <f t="shared" ref="Q16:Q23" si="24">(VLOOKUP(mathamniennghe,thamniennghe,3,0))*(E16+H16+K16)</f>
        <v>1.5717999999999999</v>
      </c>
      <c r="R16" s="8" t="s">
        <v>11</v>
      </c>
      <c r="S16" s="37" t="str">
        <f t="shared" si="9"/>
        <v>Không độc hại</v>
      </c>
      <c r="T16" s="38">
        <f t="shared" si="10"/>
        <v>0</v>
      </c>
      <c r="U16" s="8" t="s">
        <v>3</v>
      </c>
      <c r="V16" s="37" t="str">
        <f t="shared" si="11"/>
        <v>Hưởng 20% ưu đãi nghề</v>
      </c>
      <c r="W16" s="42">
        <f t="shared" ref="W16:W23" si="25">(VLOOKUP(mauudainghe,uudainghe,3,0))*(E16+H16+K16)</f>
        <v>1.0840000000000001</v>
      </c>
      <c r="X16" s="8" t="s">
        <v>11</v>
      </c>
      <c r="Y16" s="37" t="str">
        <f t="shared" si="13"/>
        <v>Không trách nhiệm</v>
      </c>
      <c r="Z16" s="42">
        <f t="shared" si="14"/>
        <v>0</v>
      </c>
      <c r="AA16" s="8" t="s">
        <v>11</v>
      </c>
      <c r="AB16" s="37" t="str">
        <f t="shared" si="15"/>
        <v>Không phụ kiện hợp đồng</v>
      </c>
      <c r="AC16" s="59">
        <f t="shared" si="16"/>
        <v>0</v>
      </c>
      <c r="AD16" s="8" t="s">
        <v>11</v>
      </c>
      <c r="AE16" s="37" t="str">
        <f t="shared" si="17"/>
        <v>Không kiêm nhiệm</v>
      </c>
      <c r="AF16" s="42">
        <f t="shared" si="18"/>
        <v>0</v>
      </c>
      <c r="AG16" s="8" t="s">
        <v>3</v>
      </c>
      <c r="AH16" s="37" t="str">
        <f t="shared" si="19"/>
        <v>Phu cấp 116 70%</v>
      </c>
      <c r="AI16" s="38">
        <f t="shared" si="20"/>
        <v>0</v>
      </c>
      <c r="AJ16" s="8" t="s">
        <v>4</v>
      </c>
      <c r="AK16" s="37" t="str">
        <f t="shared" si="21"/>
        <v>Phụ cấp 116 70%</v>
      </c>
      <c r="AL16" s="38">
        <f t="shared" si="22"/>
        <v>0</v>
      </c>
      <c r="AM16" s="9"/>
      <c r="AN16" s="9" t="s">
        <v>255</v>
      </c>
    </row>
    <row r="17" spans="1:40" x14ac:dyDescent="0.25">
      <c r="A17" s="8" t="s">
        <v>34</v>
      </c>
      <c r="B17" s="119" t="s">
        <v>362</v>
      </c>
      <c r="C17" s="8" t="s">
        <v>10</v>
      </c>
      <c r="D17" s="37" t="str">
        <f t="shared" si="0"/>
        <v>Bậc 08</v>
      </c>
      <c r="E17" s="10">
        <v>4.9800000000000004</v>
      </c>
      <c r="F17" s="8" t="s">
        <v>10</v>
      </c>
      <c r="G17" s="37" t="str">
        <f t="shared" si="1"/>
        <v>P.HT</v>
      </c>
      <c r="H17" s="38">
        <f t="shared" si="2"/>
        <v>0.3</v>
      </c>
      <c r="I17" s="8" t="s">
        <v>137</v>
      </c>
      <c r="J17" s="37" t="str">
        <f t="shared" si="3"/>
        <v>Không vượt khung</v>
      </c>
      <c r="K17" s="42">
        <f>(VLOOKUP(mavuotkhung,vuotkhung,3,0))*E17</f>
        <v>0</v>
      </c>
      <c r="L17" s="8" t="s">
        <v>3</v>
      </c>
      <c r="M17" s="37" t="str">
        <f t="shared" si="5"/>
        <v>Hưởng khu vực</v>
      </c>
      <c r="N17" s="37">
        <f t="shared" si="6"/>
        <v>0.2</v>
      </c>
      <c r="O17" s="8" t="s">
        <v>42</v>
      </c>
      <c r="P17" s="37" t="str">
        <f t="shared" si="7"/>
        <v>Thâm niên nghề 24%</v>
      </c>
      <c r="Q17" s="42">
        <f t="shared" si="24"/>
        <v>1.2672000000000001</v>
      </c>
      <c r="R17" s="8" t="s">
        <v>11</v>
      </c>
      <c r="S17" s="37" t="str">
        <f t="shared" si="9"/>
        <v>Không độc hại</v>
      </c>
      <c r="T17" s="38">
        <f t="shared" si="10"/>
        <v>0</v>
      </c>
      <c r="U17" s="8" t="s">
        <v>3</v>
      </c>
      <c r="V17" s="37" t="str">
        <f t="shared" si="11"/>
        <v>Hưởng 20% ưu đãi nghề</v>
      </c>
      <c r="W17" s="42">
        <f t="shared" si="25"/>
        <v>1.056</v>
      </c>
      <c r="X17" s="8" t="s">
        <v>11</v>
      </c>
      <c r="Y17" s="37" t="str">
        <f t="shared" si="13"/>
        <v>Không trách nhiệm</v>
      </c>
      <c r="Z17" s="42">
        <f t="shared" si="14"/>
        <v>0</v>
      </c>
      <c r="AA17" s="8" t="s">
        <v>11</v>
      </c>
      <c r="AB17" s="37" t="str">
        <f t="shared" si="15"/>
        <v>Không phụ kiện hợp đồng</v>
      </c>
      <c r="AC17" s="59">
        <f t="shared" si="16"/>
        <v>0</v>
      </c>
      <c r="AD17" s="8" t="s">
        <v>11</v>
      </c>
      <c r="AE17" s="37" t="str">
        <f t="shared" si="17"/>
        <v>Không kiêm nhiệm</v>
      </c>
      <c r="AF17" s="42">
        <f t="shared" si="18"/>
        <v>0</v>
      </c>
      <c r="AG17" s="8" t="s">
        <v>3</v>
      </c>
      <c r="AH17" s="37" t="str">
        <f t="shared" si="19"/>
        <v>Phu cấp 116 70%</v>
      </c>
      <c r="AI17" s="38">
        <f t="shared" si="20"/>
        <v>0</v>
      </c>
      <c r="AJ17" s="8" t="s">
        <v>11</v>
      </c>
      <c r="AK17" s="37" t="str">
        <f t="shared" si="21"/>
        <v>Khác</v>
      </c>
      <c r="AL17" s="38">
        <f t="shared" si="22"/>
        <v>0</v>
      </c>
      <c r="AM17" s="9"/>
      <c r="AN17" s="9"/>
    </row>
    <row r="18" spans="1:40" x14ac:dyDescent="0.25">
      <c r="A18" s="8" t="s">
        <v>35</v>
      </c>
      <c r="B18" s="119" t="s">
        <v>219</v>
      </c>
      <c r="C18" s="8" t="s">
        <v>14</v>
      </c>
      <c r="D18" s="37" t="str">
        <f t="shared" si="0"/>
        <v>Bậc 12</v>
      </c>
      <c r="E18" s="10">
        <v>4.0599999999999996</v>
      </c>
      <c r="F18" s="8" t="s">
        <v>7</v>
      </c>
      <c r="G18" s="37" t="str">
        <f t="shared" si="1"/>
        <v>NV</v>
      </c>
      <c r="H18" s="38">
        <f t="shared" si="2"/>
        <v>0</v>
      </c>
      <c r="I18" s="8" t="s">
        <v>137</v>
      </c>
      <c r="J18" s="37" t="str">
        <f t="shared" si="3"/>
        <v>Không vượt khung</v>
      </c>
      <c r="K18" s="42">
        <f t="shared" si="23"/>
        <v>0</v>
      </c>
      <c r="L18" s="8" t="s">
        <v>3</v>
      </c>
      <c r="M18" s="37" t="str">
        <f t="shared" si="5"/>
        <v>Hưởng khu vực</v>
      </c>
      <c r="N18" s="37">
        <f t="shared" si="6"/>
        <v>0.2</v>
      </c>
      <c r="O18" s="8" t="s">
        <v>42</v>
      </c>
      <c r="P18" s="37" t="str">
        <f t="shared" si="7"/>
        <v>Thâm niên nghề 24%</v>
      </c>
      <c r="Q18" s="42">
        <f>(VLOOKUP(mathamniennghe,thamniennghe,3,0))*(E18+H18+K18)</f>
        <v>0.97439999999999982</v>
      </c>
      <c r="R18" s="8" t="s">
        <v>11</v>
      </c>
      <c r="S18" s="37" t="str">
        <f t="shared" si="9"/>
        <v>Không độc hại</v>
      </c>
      <c r="T18" s="38">
        <f t="shared" si="10"/>
        <v>0</v>
      </c>
      <c r="U18" s="8" t="s">
        <v>3</v>
      </c>
      <c r="V18" s="37" t="str">
        <f t="shared" si="11"/>
        <v>Hưởng 20% ưu đãi nghề</v>
      </c>
      <c r="W18" s="42">
        <f t="shared" si="25"/>
        <v>0.81199999999999994</v>
      </c>
      <c r="X18" s="8" t="s">
        <v>11</v>
      </c>
      <c r="Y18" s="37" t="str">
        <f t="shared" si="13"/>
        <v>Không trách nhiệm</v>
      </c>
      <c r="Z18" s="42">
        <f t="shared" si="14"/>
        <v>0</v>
      </c>
      <c r="AA18" s="8" t="s">
        <v>11</v>
      </c>
      <c r="AB18" s="37" t="str">
        <f t="shared" si="15"/>
        <v>Không phụ kiện hợp đồng</v>
      </c>
      <c r="AC18" s="59">
        <f t="shared" si="16"/>
        <v>0</v>
      </c>
      <c r="AD18" s="8" t="s">
        <v>11</v>
      </c>
      <c r="AE18" s="37" t="str">
        <f t="shared" si="17"/>
        <v>Không kiêm nhiệm</v>
      </c>
      <c r="AF18" s="42">
        <f t="shared" si="18"/>
        <v>0</v>
      </c>
      <c r="AG18" s="8" t="s">
        <v>11</v>
      </c>
      <c r="AH18" s="37" t="str">
        <f t="shared" si="19"/>
        <v>Không kiêm nhiệm</v>
      </c>
      <c r="AI18" s="38">
        <f t="shared" si="20"/>
        <v>0</v>
      </c>
      <c r="AJ18" s="8" t="s">
        <v>4</v>
      </c>
      <c r="AK18" s="37" t="str">
        <f t="shared" si="21"/>
        <v>Phụ cấp 116 70%</v>
      </c>
      <c r="AL18" s="38">
        <f t="shared" si="22"/>
        <v>0</v>
      </c>
      <c r="AM18" s="9"/>
      <c r="AN18" s="9" t="s">
        <v>333</v>
      </c>
    </row>
    <row r="19" spans="1:40" ht="12" customHeight="1" x14ac:dyDescent="0.25">
      <c r="A19" s="8" t="s">
        <v>36</v>
      </c>
      <c r="B19" s="119" t="s">
        <v>220</v>
      </c>
      <c r="C19" s="8" t="s">
        <v>10</v>
      </c>
      <c r="D19" s="37" t="str">
        <f t="shared" si="0"/>
        <v>Bậc 08</v>
      </c>
      <c r="E19" s="10">
        <v>3.26</v>
      </c>
      <c r="F19" s="8" t="s">
        <v>7</v>
      </c>
      <c r="G19" s="37" t="str">
        <f t="shared" si="1"/>
        <v>NV</v>
      </c>
      <c r="H19" s="38">
        <f t="shared" si="2"/>
        <v>0</v>
      </c>
      <c r="I19" s="8" t="s">
        <v>137</v>
      </c>
      <c r="J19" s="37" t="str">
        <f t="shared" si="3"/>
        <v>Không vượt khung</v>
      </c>
      <c r="K19" s="42">
        <f t="shared" si="23"/>
        <v>0</v>
      </c>
      <c r="L19" s="8" t="s">
        <v>3</v>
      </c>
      <c r="M19" s="37" t="str">
        <f t="shared" si="5"/>
        <v>Hưởng khu vực</v>
      </c>
      <c r="N19" s="37">
        <f t="shared" si="6"/>
        <v>0.2</v>
      </c>
      <c r="O19" s="8" t="s">
        <v>34</v>
      </c>
      <c r="P19" s="37" t="str">
        <f t="shared" si="7"/>
        <v>Thâm niên nghề 16%</v>
      </c>
      <c r="Q19" s="42">
        <f t="shared" si="24"/>
        <v>0.52159999999999995</v>
      </c>
      <c r="R19" s="8" t="s">
        <v>3</v>
      </c>
      <c r="S19" s="37" t="str">
        <f t="shared" si="9"/>
        <v>Hưởng độc hại</v>
      </c>
      <c r="T19" s="38">
        <f t="shared" si="10"/>
        <v>0.2</v>
      </c>
      <c r="U19" s="8" t="s">
        <v>4</v>
      </c>
      <c r="V19" s="37" t="str">
        <f t="shared" si="11"/>
        <v>Hưởng 40% ưu đãi nghề</v>
      </c>
      <c r="W19" s="42">
        <f t="shared" si="25"/>
        <v>1.304</v>
      </c>
      <c r="X19" s="8" t="s">
        <v>11</v>
      </c>
      <c r="Y19" s="37" t="str">
        <f t="shared" si="13"/>
        <v>Không trách nhiệm</v>
      </c>
      <c r="Z19" s="42">
        <f t="shared" si="14"/>
        <v>0</v>
      </c>
      <c r="AA19" s="8" t="s">
        <v>11</v>
      </c>
      <c r="AB19" s="37" t="str">
        <f t="shared" si="15"/>
        <v>Không phụ kiện hợp đồng</v>
      </c>
      <c r="AC19" s="59">
        <f t="shared" si="16"/>
        <v>0</v>
      </c>
      <c r="AD19" s="8" t="s">
        <v>11</v>
      </c>
      <c r="AE19" s="37" t="str">
        <f t="shared" si="17"/>
        <v>Không kiêm nhiệm</v>
      </c>
      <c r="AF19" s="42">
        <f t="shared" si="18"/>
        <v>0</v>
      </c>
      <c r="AG19" s="8" t="s">
        <v>11</v>
      </c>
      <c r="AH19" s="37" t="str">
        <f t="shared" si="19"/>
        <v>Không kiêm nhiệm</v>
      </c>
      <c r="AI19" s="38">
        <f t="shared" si="20"/>
        <v>0</v>
      </c>
      <c r="AJ19" s="8" t="s">
        <v>4</v>
      </c>
      <c r="AK19" s="37" t="str">
        <f t="shared" si="21"/>
        <v>Phụ cấp 116 70%</v>
      </c>
      <c r="AL19" s="38">
        <f t="shared" si="22"/>
        <v>0</v>
      </c>
      <c r="AM19" s="9"/>
      <c r="AN19" s="9" t="s">
        <v>333</v>
      </c>
    </row>
    <row r="20" spans="1:40" x14ac:dyDescent="0.25">
      <c r="A20" s="8" t="s">
        <v>37</v>
      </c>
      <c r="B20" s="119" t="s">
        <v>221</v>
      </c>
      <c r="C20" s="8" t="s">
        <v>12</v>
      </c>
      <c r="D20" s="37" t="str">
        <f t="shared" si="0"/>
        <v>Bậc 10</v>
      </c>
      <c r="E20" s="10">
        <v>3.66</v>
      </c>
      <c r="F20" s="8" t="s">
        <v>7</v>
      </c>
      <c r="G20" s="37" t="str">
        <f t="shared" si="1"/>
        <v>NV</v>
      </c>
      <c r="H20" s="38">
        <f t="shared" si="2"/>
        <v>0</v>
      </c>
      <c r="I20" s="8" t="s">
        <v>137</v>
      </c>
      <c r="J20" s="37" t="str">
        <f t="shared" si="3"/>
        <v>Không vượt khung</v>
      </c>
      <c r="K20" s="42">
        <f t="shared" si="23"/>
        <v>0</v>
      </c>
      <c r="L20" s="8" t="s">
        <v>3</v>
      </c>
      <c r="M20" s="37" t="str">
        <f t="shared" si="5"/>
        <v>Hưởng khu vực</v>
      </c>
      <c r="N20" s="37">
        <f t="shared" si="6"/>
        <v>0.2</v>
      </c>
      <c r="O20" s="8" t="s">
        <v>34</v>
      </c>
      <c r="P20" s="37" t="str">
        <f t="shared" si="7"/>
        <v>Thâm niên nghề 16%</v>
      </c>
      <c r="Q20" s="42">
        <f t="shared" si="24"/>
        <v>0.58560000000000001</v>
      </c>
      <c r="R20" s="8" t="s">
        <v>11</v>
      </c>
      <c r="S20" s="37" t="str">
        <f t="shared" si="9"/>
        <v>Không độc hại</v>
      </c>
      <c r="T20" s="38">
        <f t="shared" si="10"/>
        <v>0</v>
      </c>
      <c r="U20" s="8" t="s">
        <v>3</v>
      </c>
      <c r="V20" s="37" t="str">
        <f t="shared" si="11"/>
        <v>Hưởng 20% ưu đãi nghề</v>
      </c>
      <c r="W20" s="42">
        <f t="shared" si="25"/>
        <v>0.7320000000000001</v>
      </c>
      <c r="X20" s="8" t="s">
        <v>11</v>
      </c>
      <c r="Y20" s="37" t="str">
        <f t="shared" si="13"/>
        <v>Không trách nhiệm</v>
      </c>
      <c r="Z20" s="42">
        <f t="shared" si="14"/>
        <v>0</v>
      </c>
      <c r="AA20" s="8" t="s">
        <v>11</v>
      </c>
      <c r="AB20" s="37" t="str">
        <f t="shared" si="15"/>
        <v>Không phụ kiện hợp đồng</v>
      </c>
      <c r="AC20" s="59">
        <f t="shared" si="16"/>
        <v>0</v>
      </c>
      <c r="AD20" s="8" t="s">
        <v>11</v>
      </c>
      <c r="AE20" s="37" t="str">
        <f t="shared" si="17"/>
        <v>Không kiêm nhiệm</v>
      </c>
      <c r="AF20" s="42">
        <f t="shared" si="18"/>
        <v>0</v>
      </c>
      <c r="AG20" s="8" t="s">
        <v>11</v>
      </c>
      <c r="AH20" s="37" t="str">
        <f t="shared" si="19"/>
        <v>Không kiêm nhiệm</v>
      </c>
      <c r="AI20" s="38">
        <f t="shared" si="20"/>
        <v>0</v>
      </c>
      <c r="AJ20" s="8" t="s">
        <v>4</v>
      </c>
      <c r="AK20" s="37" t="str">
        <f t="shared" si="21"/>
        <v>Phụ cấp 116 70%</v>
      </c>
      <c r="AL20" s="38">
        <f t="shared" si="22"/>
        <v>0</v>
      </c>
      <c r="AM20" s="9"/>
      <c r="AN20" s="9"/>
    </row>
    <row r="21" spans="1:40" x14ac:dyDescent="0.25">
      <c r="A21" s="8" t="s">
        <v>38</v>
      </c>
      <c r="B21" s="119" t="s">
        <v>222</v>
      </c>
      <c r="C21" s="8" t="s">
        <v>7</v>
      </c>
      <c r="D21" s="37" t="str">
        <f t="shared" si="0"/>
        <v>Bậc 05</v>
      </c>
      <c r="E21" s="10">
        <v>2.66</v>
      </c>
      <c r="F21" s="8" t="s">
        <v>7</v>
      </c>
      <c r="G21" s="37" t="str">
        <f t="shared" si="1"/>
        <v>NV</v>
      </c>
      <c r="H21" s="38">
        <f t="shared" si="2"/>
        <v>0</v>
      </c>
      <c r="I21" s="8" t="s">
        <v>137</v>
      </c>
      <c r="J21" s="37" t="str">
        <f t="shared" si="3"/>
        <v>Không vượt khung</v>
      </c>
      <c r="K21" s="42">
        <f t="shared" si="23"/>
        <v>0</v>
      </c>
      <c r="L21" s="8" t="s">
        <v>3</v>
      </c>
      <c r="M21" s="37" t="str">
        <f t="shared" si="5"/>
        <v>Hưởng khu vực</v>
      </c>
      <c r="N21" s="37">
        <f t="shared" si="6"/>
        <v>0.2</v>
      </c>
      <c r="O21" s="8" t="s">
        <v>10</v>
      </c>
      <c r="P21" s="37" t="str">
        <f t="shared" si="7"/>
        <v>Thâm niên nghề 8%</v>
      </c>
      <c r="Q21" s="42">
        <f t="shared" si="24"/>
        <v>0.21280000000000002</v>
      </c>
      <c r="R21" s="8" t="s">
        <v>3</v>
      </c>
      <c r="S21" s="37" t="str">
        <f t="shared" si="9"/>
        <v>Hưởng độc hại</v>
      </c>
      <c r="T21" s="38">
        <f t="shared" si="10"/>
        <v>0.2</v>
      </c>
      <c r="U21" s="8" t="s">
        <v>3</v>
      </c>
      <c r="V21" s="37" t="str">
        <f t="shared" si="11"/>
        <v>Hưởng 20% ưu đãi nghề</v>
      </c>
      <c r="W21" s="42">
        <f t="shared" si="25"/>
        <v>0.53200000000000003</v>
      </c>
      <c r="X21" s="8" t="s">
        <v>11</v>
      </c>
      <c r="Y21" s="37" t="str">
        <f t="shared" si="13"/>
        <v>Không trách nhiệm</v>
      </c>
      <c r="Z21" s="42">
        <f t="shared" si="14"/>
        <v>0</v>
      </c>
      <c r="AA21" s="8" t="s">
        <v>11</v>
      </c>
      <c r="AB21" s="37" t="str">
        <f t="shared" si="15"/>
        <v>Không phụ kiện hợp đồng</v>
      </c>
      <c r="AC21" s="59">
        <f t="shared" si="16"/>
        <v>0</v>
      </c>
      <c r="AD21" s="8" t="s">
        <v>11</v>
      </c>
      <c r="AE21" s="37" t="str">
        <f t="shared" si="17"/>
        <v>Không kiêm nhiệm</v>
      </c>
      <c r="AF21" s="42">
        <f t="shared" si="18"/>
        <v>0</v>
      </c>
      <c r="AG21" s="8" t="s">
        <v>11</v>
      </c>
      <c r="AH21" s="37" t="str">
        <f t="shared" si="19"/>
        <v>Không kiêm nhiệm</v>
      </c>
      <c r="AI21" s="38">
        <f t="shared" si="20"/>
        <v>0</v>
      </c>
      <c r="AJ21" s="8" t="s">
        <v>3</v>
      </c>
      <c r="AK21" s="37" t="str">
        <f t="shared" si="21"/>
        <v>Phụ cấp 116 50%</v>
      </c>
      <c r="AL21" s="38">
        <f t="shared" si="22"/>
        <v>0</v>
      </c>
      <c r="AM21" s="9"/>
      <c r="AN21" s="9"/>
    </row>
    <row r="22" spans="1:40" x14ac:dyDescent="0.25">
      <c r="A22" s="8" t="s">
        <v>39</v>
      </c>
      <c r="B22" s="119" t="s">
        <v>223</v>
      </c>
      <c r="C22" s="8" t="s">
        <v>7</v>
      </c>
      <c r="D22" s="37" t="str">
        <f t="shared" si="0"/>
        <v>Bậc 05</v>
      </c>
      <c r="E22" s="10">
        <v>2.66</v>
      </c>
      <c r="F22" s="8" t="s">
        <v>7</v>
      </c>
      <c r="G22" s="37" t="str">
        <f t="shared" si="1"/>
        <v>NV</v>
      </c>
      <c r="H22" s="38">
        <f t="shared" si="2"/>
        <v>0</v>
      </c>
      <c r="I22" s="8" t="s">
        <v>137</v>
      </c>
      <c r="J22" s="37" t="str">
        <f t="shared" si="3"/>
        <v>Không vượt khung</v>
      </c>
      <c r="K22" s="42">
        <f t="shared" si="23"/>
        <v>0</v>
      </c>
      <c r="L22" s="8" t="s">
        <v>3</v>
      </c>
      <c r="M22" s="37" t="str">
        <f t="shared" si="5"/>
        <v>Hưởng khu vực</v>
      </c>
      <c r="N22" s="37">
        <f t="shared" si="6"/>
        <v>0.2</v>
      </c>
      <c r="O22" s="8" t="s">
        <v>9</v>
      </c>
      <c r="P22" s="37" t="str">
        <f t="shared" si="7"/>
        <v>Thâm niên nghề 7%</v>
      </c>
      <c r="Q22" s="42">
        <f t="shared" si="24"/>
        <v>0.18620000000000003</v>
      </c>
      <c r="R22" s="8" t="s">
        <v>3</v>
      </c>
      <c r="S22" s="37" t="str">
        <f t="shared" si="9"/>
        <v>Hưởng độc hại</v>
      </c>
      <c r="T22" s="38">
        <f t="shared" si="10"/>
        <v>0.2</v>
      </c>
      <c r="U22" s="8" t="s">
        <v>3</v>
      </c>
      <c r="V22" s="37" t="str">
        <f t="shared" si="11"/>
        <v>Hưởng 20% ưu đãi nghề</v>
      </c>
      <c r="W22" s="42">
        <f t="shared" si="25"/>
        <v>0.53200000000000003</v>
      </c>
      <c r="X22" s="8" t="s">
        <v>11</v>
      </c>
      <c r="Y22" s="37" t="str">
        <f t="shared" si="13"/>
        <v>Không trách nhiệm</v>
      </c>
      <c r="Z22" s="42">
        <f t="shared" si="14"/>
        <v>0</v>
      </c>
      <c r="AA22" s="8" t="s">
        <v>11</v>
      </c>
      <c r="AB22" s="37" t="str">
        <f t="shared" si="15"/>
        <v>Không phụ kiện hợp đồng</v>
      </c>
      <c r="AC22" s="59">
        <f t="shared" si="16"/>
        <v>0</v>
      </c>
      <c r="AD22" s="8" t="s">
        <v>11</v>
      </c>
      <c r="AE22" s="37" t="str">
        <f t="shared" si="17"/>
        <v>Không kiêm nhiệm</v>
      </c>
      <c r="AF22" s="42">
        <f t="shared" si="18"/>
        <v>0</v>
      </c>
      <c r="AG22" s="8" t="s">
        <v>11</v>
      </c>
      <c r="AH22" s="37" t="str">
        <f t="shared" si="19"/>
        <v>Không kiêm nhiệm</v>
      </c>
      <c r="AI22" s="38">
        <f t="shared" si="20"/>
        <v>0</v>
      </c>
      <c r="AJ22" s="8" t="s">
        <v>3</v>
      </c>
      <c r="AK22" s="37" t="str">
        <f t="shared" si="21"/>
        <v>Phụ cấp 116 50%</v>
      </c>
      <c r="AL22" s="38">
        <f t="shared" si="22"/>
        <v>0</v>
      </c>
      <c r="AM22" s="9"/>
      <c r="AN22" s="9"/>
    </row>
    <row r="23" spans="1:40" x14ac:dyDescent="0.25">
      <c r="A23" s="8" t="s">
        <v>40</v>
      </c>
      <c r="B23" s="119" t="s">
        <v>224</v>
      </c>
      <c r="C23" s="8" t="s">
        <v>7</v>
      </c>
      <c r="D23" s="37" t="str">
        <f t="shared" si="0"/>
        <v>Bậc 05</v>
      </c>
      <c r="E23" s="10">
        <v>2.66</v>
      </c>
      <c r="F23" s="8" t="s">
        <v>7</v>
      </c>
      <c r="G23" s="37" t="str">
        <f t="shared" si="1"/>
        <v>NV</v>
      </c>
      <c r="H23" s="38">
        <f t="shared" si="2"/>
        <v>0</v>
      </c>
      <c r="I23" s="8" t="s">
        <v>137</v>
      </c>
      <c r="J23" s="37" t="str">
        <f t="shared" si="3"/>
        <v>Không vượt khung</v>
      </c>
      <c r="K23" s="42">
        <f t="shared" si="23"/>
        <v>0</v>
      </c>
      <c r="L23" s="8" t="s">
        <v>3</v>
      </c>
      <c r="M23" s="37" t="str">
        <f t="shared" si="5"/>
        <v>Hưởng khu vực</v>
      </c>
      <c r="N23" s="37">
        <f t="shared" si="6"/>
        <v>0.2</v>
      </c>
      <c r="O23" s="8" t="s">
        <v>137</v>
      </c>
      <c r="P23" s="37" t="str">
        <f t="shared" si="7"/>
        <v>Không thâm niên nghề</v>
      </c>
      <c r="Q23" s="42">
        <f t="shared" si="24"/>
        <v>0</v>
      </c>
      <c r="R23" s="8" t="s">
        <v>11</v>
      </c>
      <c r="S23" s="37" t="str">
        <f t="shared" si="9"/>
        <v>Không độc hại</v>
      </c>
      <c r="T23" s="38">
        <f t="shared" si="10"/>
        <v>0</v>
      </c>
      <c r="U23" s="8" t="s">
        <v>3</v>
      </c>
      <c r="V23" s="37" t="str">
        <f t="shared" si="11"/>
        <v>Hưởng 20% ưu đãi nghề</v>
      </c>
      <c r="W23" s="42">
        <f t="shared" si="25"/>
        <v>0.53200000000000003</v>
      </c>
      <c r="X23" s="8" t="s">
        <v>11</v>
      </c>
      <c r="Y23" s="37" t="str">
        <f t="shared" si="13"/>
        <v>Không trách nhiệm</v>
      </c>
      <c r="Z23" s="42">
        <f t="shared" si="14"/>
        <v>0</v>
      </c>
      <c r="AA23" s="8" t="s">
        <v>11</v>
      </c>
      <c r="AB23" s="37" t="str">
        <f t="shared" si="15"/>
        <v>Không phụ kiện hợp đồng</v>
      </c>
      <c r="AC23" s="59">
        <f t="shared" si="16"/>
        <v>0</v>
      </c>
      <c r="AD23" s="8" t="s">
        <v>11</v>
      </c>
      <c r="AE23" s="37" t="str">
        <f t="shared" si="17"/>
        <v>Không kiêm nhiệm</v>
      </c>
      <c r="AF23" s="42">
        <f t="shared" si="18"/>
        <v>0</v>
      </c>
      <c r="AG23" s="8" t="s">
        <v>11</v>
      </c>
      <c r="AH23" s="37" t="str">
        <f t="shared" si="19"/>
        <v>Không kiêm nhiệm</v>
      </c>
      <c r="AI23" s="38">
        <f t="shared" si="20"/>
        <v>0</v>
      </c>
      <c r="AJ23" s="8" t="s">
        <v>3</v>
      </c>
      <c r="AK23" s="37" t="str">
        <f t="shared" si="21"/>
        <v>Phụ cấp 116 50%</v>
      </c>
      <c r="AL23" s="38">
        <f t="shared" si="22"/>
        <v>0</v>
      </c>
      <c r="AM23" s="9"/>
      <c r="AN23" s="9"/>
    </row>
    <row r="24" spans="1:40" x14ac:dyDescent="0.25">
      <c r="A24" s="8" t="s">
        <v>41</v>
      </c>
      <c r="B24" s="9" t="s">
        <v>253</v>
      </c>
      <c r="C24" s="8" t="s">
        <v>7</v>
      </c>
      <c r="D24" s="37" t="str">
        <f t="shared" si="0"/>
        <v>Bậc 05</v>
      </c>
      <c r="E24" s="10">
        <v>2.66</v>
      </c>
      <c r="F24" s="8" t="s">
        <v>7</v>
      </c>
      <c r="G24" s="37" t="str">
        <f t="shared" si="1"/>
        <v>NV</v>
      </c>
      <c r="H24" s="38">
        <f t="shared" si="2"/>
        <v>0</v>
      </c>
      <c r="I24" s="8" t="s">
        <v>137</v>
      </c>
      <c r="J24" s="37" t="str">
        <f t="shared" si="3"/>
        <v>Không vượt khung</v>
      </c>
      <c r="K24" s="42">
        <f t="shared" ref="K24:K32" si="26">(VLOOKUP(mavuotkhung,vuotkhung,3,0))*E24</f>
        <v>0</v>
      </c>
      <c r="L24" s="8" t="s">
        <v>3</v>
      </c>
      <c r="M24" s="37" t="str">
        <f t="shared" si="5"/>
        <v>Hưởng khu vực</v>
      </c>
      <c r="N24" s="37">
        <f t="shared" si="6"/>
        <v>0.2</v>
      </c>
      <c r="O24" s="8" t="s">
        <v>137</v>
      </c>
      <c r="P24" s="37" t="str">
        <f t="shared" si="7"/>
        <v>Không thâm niên nghề</v>
      </c>
      <c r="Q24" s="42">
        <f t="shared" ref="Q24:Q32" si="27">(VLOOKUP(mathamniennghe,thamniennghe,3,0))*(E24+H24+K24)</f>
        <v>0</v>
      </c>
      <c r="R24" s="8" t="s">
        <v>11</v>
      </c>
      <c r="S24" s="37" t="str">
        <f t="shared" si="9"/>
        <v>Không độc hại</v>
      </c>
      <c r="T24" s="38">
        <f t="shared" si="10"/>
        <v>0</v>
      </c>
      <c r="U24" s="8" t="s">
        <v>3</v>
      </c>
      <c r="V24" s="37" t="str">
        <f t="shared" si="11"/>
        <v>Hưởng 20% ưu đãi nghề</v>
      </c>
      <c r="W24" s="42">
        <f t="shared" ref="W24:W32" si="28">(VLOOKUP(mauudainghe,uudainghe,3,0))*(E24+H24+K24)</f>
        <v>0.53200000000000003</v>
      </c>
      <c r="X24" s="8" t="s">
        <v>11</v>
      </c>
      <c r="Y24" s="37" t="str">
        <f t="shared" si="13"/>
        <v>Không trách nhiệm</v>
      </c>
      <c r="Z24" s="42">
        <f t="shared" si="14"/>
        <v>0</v>
      </c>
      <c r="AA24" s="8" t="s">
        <v>11</v>
      </c>
      <c r="AB24" s="37" t="str">
        <f t="shared" si="15"/>
        <v>Không phụ kiện hợp đồng</v>
      </c>
      <c r="AC24" s="59">
        <f t="shared" si="16"/>
        <v>0</v>
      </c>
      <c r="AD24" s="8" t="s">
        <v>11</v>
      </c>
      <c r="AE24" s="37" t="str">
        <f t="shared" si="17"/>
        <v>Không kiêm nhiệm</v>
      </c>
      <c r="AF24" s="42">
        <f t="shared" ref="AF24:AF32" si="29">VLOOKUP(makiemnhiem,kiemnhiem,3,0)*(E24+H24+K24)</f>
        <v>0</v>
      </c>
      <c r="AG24" s="8" t="s">
        <v>11</v>
      </c>
      <c r="AH24" s="37" t="str">
        <f t="shared" si="19"/>
        <v>Không kiêm nhiệm</v>
      </c>
      <c r="AI24" s="38">
        <f t="shared" si="20"/>
        <v>0</v>
      </c>
      <c r="AJ24" s="8" t="s">
        <v>3</v>
      </c>
      <c r="AK24" s="37" t="str">
        <f t="shared" si="21"/>
        <v>Phụ cấp 116 50%</v>
      </c>
      <c r="AL24" s="38">
        <f t="shared" si="22"/>
        <v>0</v>
      </c>
      <c r="AM24" s="9"/>
      <c r="AN24" s="9" t="s">
        <v>254</v>
      </c>
    </row>
    <row r="25" spans="1:40" x14ac:dyDescent="0.25">
      <c r="A25" s="8" t="s">
        <v>42</v>
      </c>
      <c r="B25" s="9" t="s">
        <v>284</v>
      </c>
      <c r="C25" s="8" t="s">
        <v>6</v>
      </c>
      <c r="D25" s="37" t="str">
        <f t="shared" si="0"/>
        <v>Bậc 04</v>
      </c>
      <c r="E25" s="10">
        <v>2.46</v>
      </c>
      <c r="F25" s="8" t="s">
        <v>7</v>
      </c>
      <c r="G25" s="37" t="str">
        <f t="shared" si="1"/>
        <v>NV</v>
      </c>
      <c r="H25" s="38">
        <f t="shared" si="2"/>
        <v>0</v>
      </c>
      <c r="I25" s="8" t="s">
        <v>137</v>
      </c>
      <c r="J25" s="37" t="str">
        <f t="shared" si="3"/>
        <v>Không vượt khung</v>
      </c>
      <c r="K25" s="42">
        <f t="shared" si="26"/>
        <v>0</v>
      </c>
      <c r="L25" s="8" t="s">
        <v>3</v>
      </c>
      <c r="M25" s="37" t="str">
        <f t="shared" si="5"/>
        <v>Hưởng khu vực</v>
      </c>
      <c r="N25" s="37">
        <f t="shared" si="6"/>
        <v>0.2</v>
      </c>
      <c r="O25" s="8" t="s">
        <v>137</v>
      </c>
      <c r="P25" s="37" t="str">
        <f t="shared" si="7"/>
        <v>Không thâm niên nghề</v>
      </c>
      <c r="Q25" s="42">
        <f t="shared" si="27"/>
        <v>0</v>
      </c>
      <c r="R25" s="8" t="s">
        <v>11</v>
      </c>
      <c r="S25" s="37" t="str">
        <f t="shared" si="9"/>
        <v>Không độc hại</v>
      </c>
      <c r="T25" s="38">
        <f t="shared" si="10"/>
        <v>0</v>
      </c>
      <c r="U25" s="8" t="s">
        <v>3</v>
      </c>
      <c r="V25" s="37" t="str">
        <f t="shared" si="11"/>
        <v>Hưởng 20% ưu đãi nghề</v>
      </c>
      <c r="W25" s="42">
        <f t="shared" si="28"/>
        <v>0.49199999999999999</v>
      </c>
      <c r="X25" s="8" t="s">
        <v>11</v>
      </c>
      <c r="Y25" s="37" t="str">
        <f t="shared" si="13"/>
        <v>Không trách nhiệm</v>
      </c>
      <c r="Z25" s="42">
        <f t="shared" si="14"/>
        <v>0</v>
      </c>
      <c r="AA25" s="8" t="s">
        <v>11</v>
      </c>
      <c r="AB25" s="37" t="str">
        <f t="shared" si="15"/>
        <v>Không phụ kiện hợp đồng</v>
      </c>
      <c r="AC25" s="59">
        <f t="shared" si="16"/>
        <v>0</v>
      </c>
      <c r="AD25" s="8" t="s">
        <v>11</v>
      </c>
      <c r="AE25" s="37" t="str">
        <f t="shared" si="17"/>
        <v>Không kiêm nhiệm</v>
      </c>
      <c r="AF25" s="42">
        <f t="shared" si="29"/>
        <v>0</v>
      </c>
      <c r="AG25" s="8" t="s">
        <v>3</v>
      </c>
      <c r="AH25" s="37" t="str">
        <f t="shared" si="19"/>
        <v>Phu cấp 116 70%</v>
      </c>
      <c r="AI25" s="38">
        <f t="shared" si="20"/>
        <v>0</v>
      </c>
      <c r="AJ25" s="8" t="s">
        <v>11</v>
      </c>
      <c r="AK25" s="37" t="str">
        <f t="shared" si="21"/>
        <v>Khác</v>
      </c>
      <c r="AL25" s="38">
        <f t="shared" si="22"/>
        <v>0</v>
      </c>
      <c r="AM25" s="9"/>
      <c r="AN25" s="9" t="s">
        <v>349</v>
      </c>
    </row>
    <row r="26" spans="1:40" x14ac:dyDescent="0.25">
      <c r="A26" s="8" t="s">
        <v>43</v>
      </c>
      <c r="B26" s="9" t="s">
        <v>286</v>
      </c>
      <c r="C26" s="8" t="s">
        <v>4</v>
      </c>
      <c r="D26" s="37" t="str">
        <f>VLOOKUP(mabacluong,bacluong,2,0)</f>
        <v>Bậc 02</v>
      </c>
      <c r="E26" s="10">
        <v>2.67</v>
      </c>
      <c r="F26" s="8" t="s">
        <v>7</v>
      </c>
      <c r="G26" s="37" t="str">
        <f>VLOOKUP(machucvu,chucvu,2,0)</f>
        <v>NV</v>
      </c>
      <c r="H26" s="38">
        <f>VLOOKUP(machucvu,chucvu,3,0)</f>
        <v>0</v>
      </c>
      <c r="I26" s="8" t="s">
        <v>137</v>
      </c>
      <c r="J26" s="37" t="str">
        <f>VLOOKUP(mavuotkhung,vuotkhung,2,0)</f>
        <v>Không vượt khung</v>
      </c>
      <c r="K26" s="42">
        <f>(VLOOKUP(mavuotkhung,vuotkhung,3,0))*E26</f>
        <v>0</v>
      </c>
      <c r="L26" s="8" t="s">
        <v>3</v>
      </c>
      <c r="M26" s="37" t="str">
        <f>VLOOKUP(makhuvuc,khuvuc,2,0)</f>
        <v>Hưởng khu vực</v>
      </c>
      <c r="N26" s="37">
        <f>VLOOKUP(makhuvuc,khuvuc,3,0)</f>
        <v>0.2</v>
      </c>
      <c r="O26" s="8" t="s">
        <v>137</v>
      </c>
      <c r="P26" s="37" t="str">
        <f>VLOOKUP(mathamniennghe,thamniennghe,2,0)</f>
        <v>Không thâm niên nghề</v>
      </c>
      <c r="Q26" s="42">
        <f>(VLOOKUP(mathamniennghe,thamniennghe,3,0))*(E26+H26+K26)</f>
        <v>0</v>
      </c>
      <c r="R26" s="8" t="s">
        <v>11</v>
      </c>
      <c r="S26" s="37" t="str">
        <f>VLOOKUP(madochai,dochai,2,0)</f>
        <v>Không độc hại</v>
      </c>
      <c r="T26" s="38">
        <f>VLOOKUP(madochai,dochai,3,0)</f>
        <v>0</v>
      </c>
      <c r="U26" s="8" t="s">
        <v>3</v>
      </c>
      <c r="V26" s="37" t="str">
        <f>VLOOKUP(mauudainghe,uudainghe,2,0)</f>
        <v>Hưởng 20% ưu đãi nghề</v>
      </c>
      <c r="W26" s="42">
        <f>(VLOOKUP(mauudainghe,uudainghe,3,0))*(E26+H26+K26)</f>
        <v>0.53400000000000003</v>
      </c>
      <c r="X26" s="8" t="s">
        <v>11</v>
      </c>
      <c r="Y26" s="37" t="str">
        <f>VLOOKUP(matrachnhiem,trachnhiem,2,0)</f>
        <v>Không trách nhiệm</v>
      </c>
      <c r="Z26" s="42">
        <f>VLOOKUP(matrachnhiem,trachnhiem,3,0)</f>
        <v>0</v>
      </c>
      <c r="AA26" s="8" t="s">
        <v>11</v>
      </c>
      <c r="AB26" s="37" t="str">
        <f>VLOOKUP(maphukienhopdong,phukienhopdong,2,0)</f>
        <v>Không phụ kiện hợp đồng</v>
      </c>
      <c r="AC26" s="59">
        <f>VLOOKUP(maphukienhopdong,phukienhopdong,3,0)</f>
        <v>0</v>
      </c>
      <c r="AD26" s="8" t="s">
        <v>11</v>
      </c>
      <c r="AE26" s="37" t="str">
        <f>VLOOKUP(makiemnhiem,kiemnhiem,2,0)</f>
        <v>Không kiêm nhiệm</v>
      </c>
      <c r="AF26" s="42">
        <f>VLOOKUP(makiemnhiem,kiemnhiem,3,0)*(E26+H26+K26)</f>
        <v>0</v>
      </c>
      <c r="AG26" s="8" t="s">
        <v>3</v>
      </c>
      <c r="AH26" s="37" t="str">
        <f t="shared" ref="AH26:AH48" si="30">VLOOKUP(_ma1670,_pc11670,2,0)</f>
        <v>Phu cấp 116 70%</v>
      </c>
      <c r="AI26" s="38">
        <f>VLOOKUP(_ma1670,_pc11670,3,0)*(E26+H26+K26)</f>
        <v>0</v>
      </c>
      <c r="AJ26" s="8" t="s">
        <v>11</v>
      </c>
      <c r="AK26" s="37" t="str">
        <f t="shared" ref="AK26:AK48" si="31">VLOOKUP(_ma116,pc1165070100,2,0)</f>
        <v>Khác</v>
      </c>
      <c r="AL26" s="38">
        <f t="shared" ref="AL26:AL48" si="32">VLOOKUP(_ma116,pc1165070100,3,0)</f>
        <v>0</v>
      </c>
      <c r="AM26" s="9"/>
      <c r="AN26" s="9" t="s">
        <v>348</v>
      </c>
    </row>
    <row r="27" spans="1:40" x14ac:dyDescent="0.25">
      <c r="A27" s="8" t="s">
        <v>44</v>
      </c>
      <c r="B27" s="9" t="s">
        <v>61</v>
      </c>
      <c r="C27" s="8" t="s">
        <v>8</v>
      </c>
      <c r="D27" s="37" t="str">
        <f t="shared" si="0"/>
        <v>Bậc 06</v>
      </c>
      <c r="E27" s="10">
        <v>2.86</v>
      </c>
      <c r="F27" s="8" t="s">
        <v>7</v>
      </c>
      <c r="G27" s="37" t="str">
        <f t="shared" si="1"/>
        <v>NV</v>
      </c>
      <c r="H27" s="38">
        <f t="shared" si="2"/>
        <v>0</v>
      </c>
      <c r="I27" s="8" t="s">
        <v>137</v>
      </c>
      <c r="J27" s="37" t="str">
        <f t="shared" si="3"/>
        <v>Không vượt khung</v>
      </c>
      <c r="K27" s="42">
        <f>(VLOOKUP(mavuotkhung,vuotkhung,3,0))*E27</f>
        <v>0</v>
      </c>
      <c r="L27" s="8" t="s">
        <v>3</v>
      </c>
      <c r="M27" s="37" t="str">
        <f t="shared" si="5"/>
        <v>Hưởng khu vực</v>
      </c>
      <c r="N27" s="37">
        <f t="shared" si="6"/>
        <v>0.2</v>
      </c>
      <c r="O27" s="8" t="s">
        <v>137</v>
      </c>
      <c r="P27" s="37" t="str">
        <f t="shared" si="7"/>
        <v>Không thâm niên nghề</v>
      </c>
      <c r="Q27" s="42">
        <f>(VLOOKUP(mathamniennghe,thamniennghe,3,0))*(E27+H27+K27)</f>
        <v>0</v>
      </c>
      <c r="R27" s="8" t="s">
        <v>11</v>
      </c>
      <c r="S27" s="37" t="str">
        <f t="shared" si="9"/>
        <v>Không độc hại</v>
      </c>
      <c r="T27" s="38">
        <f t="shared" si="10"/>
        <v>0</v>
      </c>
      <c r="U27" s="8" t="s">
        <v>11</v>
      </c>
      <c r="V27" s="37" t="str">
        <f t="shared" si="11"/>
        <v>Không hưởng ưu đãi nghề</v>
      </c>
      <c r="W27" s="42">
        <f>(VLOOKUP(mauudainghe,uudainghe,3,0))*(E27+H27+K27)</f>
        <v>0</v>
      </c>
      <c r="X27" s="8" t="s">
        <v>11</v>
      </c>
      <c r="Y27" s="37" t="str">
        <f t="shared" si="13"/>
        <v>Không trách nhiệm</v>
      </c>
      <c r="Z27" s="42">
        <f t="shared" si="14"/>
        <v>0</v>
      </c>
      <c r="AA27" s="8" t="s">
        <v>11</v>
      </c>
      <c r="AB27" s="37" t="str">
        <f t="shared" si="15"/>
        <v>Không phụ kiện hợp đồng</v>
      </c>
      <c r="AC27" s="59">
        <f t="shared" si="16"/>
        <v>0</v>
      </c>
      <c r="AD27" s="8" t="s">
        <v>11</v>
      </c>
      <c r="AE27" s="37" t="str">
        <f t="shared" si="17"/>
        <v>Không kiêm nhiệm</v>
      </c>
      <c r="AF27" s="42">
        <f>VLOOKUP(makiemnhiem,kiemnhiem,3,0)*(E27+H27+K27)</f>
        <v>0</v>
      </c>
      <c r="AG27" s="8" t="s">
        <v>11</v>
      </c>
      <c r="AH27" s="37" t="str">
        <f t="shared" si="19"/>
        <v>Không kiêm nhiệm</v>
      </c>
      <c r="AI27" s="38">
        <f>VLOOKUP(_ma1670,_pc11670,3,0)*(E27+H27+K27)</f>
        <v>0</v>
      </c>
      <c r="AJ27" s="8" t="s">
        <v>3</v>
      </c>
      <c r="AK27" s="37" t="str">
        <f t="shared" si="21"/>
        <v>Phụ cấp 116 50%</v>
      </c>
      <c r="AL27" s="38">
        <f t="shared" si="22"/>
        <v>0</v>
      </c>
      <c r="AM27" s="9"/>
      <c r="AN27" s="9" t="s">
        <v>332</v>
      </c>
    </row>
    <row r="28" spans="1:40" x14ac:dyDescent="0.25">
      <c r="A28" s="8" t="s">
        <v>45</v>
      </c>
      <c r="B28" s="9" t="s">
        <v>57</v>
      </c>
      <c r="C28" s="8" t="s">
        <v>7</v>
      </c>
      <c r="D28" s="37" t="str">
        <f t="shared" si="0"/>
        <v>Bậc 05</v>
      </c>
      <c r="E28" s="10">
        <v>3.66</v>
      </c>
      <c r="F28" s="8" t="s">
        <v>5</v>
      </c>
      <c r="G28" s="37" t="str">
        <f t="shared" si="1"/>
        <v>TP</v>
      </c>
      <c r="H28" s="38">
        <f t="shared" si="2"/>
        <v>0.5</v>
      </c>
      <c r="I28" s="8" t="s">
        <v>137</v>
      </c>
      <c r="J28" s="37" t="str">
        <f t="shared" si="3"/>
        <v>Không vượt khung</v>
      </c>
      <c r="K28" s="42">
        <f t="shared" si="26"/>
        <v>0</v>
      </c>
      <c r="L28" s="8" t="s">
        <v>3</v>
      </c>
      <c r="M28" s="37" t="str">
        <f t="shared" si="5"/>
        <v>Hưởng khu vực</v>
      </c>
      <c r="N28" s="37">
        <f t="shared" si="6"/>
        <v>0.2</v>
      </c>
      <c r="O28" s="8" t="s">
        <v>137</v>
      </c>
      <c r="P28" s="37" t="str">
        <f t="shared" si="7"/>
        <v>Không thâm niên nghề</v>
      </c>
      <c r="Q28" s="42">
        <f t="shared" si="27"/>
        <v>0</v>
      </c>
      <c r="R28" s="8" t="s">
        <v>11</v>
      </c>
      <c r="S28" s="37" t="str">
        <f t="shared" si="9"/>
        <v>Không độc hại</v>
      </c>
      <c r="T28" s="38">
        <f t="shared" si="10"/>
        <v>0</v>
      </c>
      <c r="U28" s="8" t="s">
        <v>11</v>
      </c>
      <c r="V28" s="37" t="str">
        <f t="shared" si="11"/>
        <v>Không hưởng ưu đãi nghề</v>
      </c>
      <c r="W28" s="42">
        <f t="shared" si="28"/>
        <v>0</v>
      </c>
      <c r="X28" s="8" t="s">
        <v>11</v>
      </c>
      <c r="Y28" s="37" t="str">
        <f t="shared" si="13"/>
        <v>Không trách nhiệm</v>
      </c>
      <c r="Z28" s="42">
        <f t="shared" si="14"/>
        <v>0</v>
      </c>
      <c r="AA28" s="8" t="s">
        <v>11</v>
      </c>
      <c r="AB28" s="37" t="str">
        <f t="shared" si="15"/>
        <v>Không phụ kiện hợp đồng</v>
      </c>
      <c r="AC28" s="59">
        <f t="shared" si="16"/>
        <v>0</v>
      </c>
      <c r="AD28" s="8" t="s">
        <v>11</v>
      </c>
      <c r="AE28" s="37" t="str">
        <f t="shared" si="17"/>
        <v>Không kiêm nhiệm</v>
      </c>
      <c r="AF28" s="42">
        <f>VLOOKUP(makiemnhiem,kiemnhiem,3,0)*(E28+H28+K28)</f>
        <v>0</v>
      </c>
      <c r="AG28" s="8" t="s">
        <v>11</v>
      </c>
      <c r="AH28" s="37" t="str">
        <f t="shared" si="30"/>
        <v>Không kiêm nhiệm</v>
      </c>
      <c r="AI28" s="38">
        <f>VLOOKUP(_ma1670,_pc11670,3,0)*(E28+H28+K28)</f>
        <v>0</v>
      </c>
      <c r="AJ28" s="8" t="s">
        <v>4</v>
      </c>
      <c r="AK28" s="37" t="str">
        <f t="shared" si="31"/>
        <v>Phụ cấp 116 70%</v>
      </c>
      <c r="AL28" s="38">
        <f t="shared" si="32"/>
        <v>0</v>
      </c>
      <c r="AM28" s="11"/>
      <c r="AN28" s="9" t="s">
        <v>334</v>
      </c>
    </row>
    <row r="29" spans="1:40" x14ac:dyDescent="0.25">
      <c r="A29" s="8" t="s">
        <v>46</v>
      </c>
      <c r="B29" s="9" t="s">
        <v>63</v>
      </c>
      <c r="C29" s="8" t="s">
        <v>6</v>
      </c>
      <c r="D29" s="37" t="str">
        <f t="shared" si="0"/>
        <v>Bậc 04</v>
      </c>
      <c r="E29" s="10">
        <v>3.33</v>
      </c>
      <c r="F29" s="8" t="s">
        <v>6</v>
      </c>
      <c r="G29" s="37" t="str">
        <f t="shared" si="1"/>
        <v>P.TP</v>
      </c>
      <c r="H29" s="38">
        <f t="shared" si="2"/>
        <v>0.3</v>
      </c>
      <c r="I29" s="8" t="s">
        <v>137</v>
      </c>
      <c r="J29" s="37" t="str">
        <f t="shared" si="3"/>
        <v>Không vượt khung</v>
      </c>
      <c r="K29" s="42">
        <f t="shared" si="26"/>
        <v>0</v>
      </c>
      <c r="L29" s="8" t="s">
        <v>3</v>
      </c>
      <c r="M29" s="37" t="str">
        <f t="shared" si="5"/>
        <v>Hưởng khu vực</v>
      </c>
      <c r="N29" s="37">
        <f t="shared" si="6"/>
        <v>0.2</v>
      </c>
      <c r="O29" s="8" t="s">
        <v>137</v>
      </c>
      <c r="P29" s="37" t="str">
        <f t="shared" si="7"/>
        <v>Không thâm niên nghề</v>
      </c>
      <c r="Q29" s="42">
        <f t="shared" si="27"/>
        <v>0</v>
      </c>
      <c r="R29" s="8" t="s">
        <v>11</v>
      </c>
      <c r="S29" s="37" t="str">
        <f t="shared" si="9"/>
        <v>Không độc hại</v>
      </c>
      <c r="T29" s="38">
        <f t="shared" si="10"/>
        <v>0</v>
      </c>
      <c r="U29" s="8" t="s">
        <v>11</v>
      </c>
      <c r="V29" s="37" t="str">
        <f t="shared" si="11"/>
        <v>Không hưởng ưu đãi nghề</v>
      </c>
      <c r="W29" s="42">
        <f t="shared" si="28"/>
        <v>0</v>
      </c>
      <c r="X29" s="8" t="s">
        <v>11</v>
      </c>
      <c r="Y29" s="37" t="str">
        <f t="shared" si="13"/>
        <v>Không trách nhiệm</v>
      </c>
      <c r="Z29" s="42">
        <f t="shared" si="14"/>
        <v>0</v>
      </c>
      <c r="AA29" s="8" t="s">
        <v>11</v>
      </c>
      <c r="AB29" s="37" t="str">
        <f t="shared" si="15"/>
        <v>Không phụ kiện hợp đồng</v>
      </c>
      <c r="AC29" s="59">
        <f t="shared" si="16"/>
        <v>0</v>
      </c>
      <c r="AD29" s="8" t="s">
        <v>11</v>
      </c>
      <c r="AE29" s="37" t="str">
        <f t="shared" si="17"/>
        <v>Không kiêm nhiệm</v>
      </c>
      <c r="AF29" s="42">
        <f t="shared" si="29"/>
        <v>0</v>
      </c>
      <c r="AG29" s="8" t="s">
        <v>11</v>
      </c>
      <c r="AH29" s="37" t="str">
        <f t="shared" si="30"/>
        <v>Không kiêm nhiệm</v>
      </c>
      <c r="AI29" s="38">
        <f t="shared" ref="AI29:AI44" si="33">VLOOKUP(_ma1670,_pc11670,3,0)*(E29+H29+K29)</f>
        <v>0</v>
      </c>
      <c r="AJ29" s="8" t="s">
        <v>3</v>
      </c>
      <c r="AK29" s="37" t="str">
        <f t="shared" si="31"/>
        <v>Phụ cấp 116 50%</v>
      </c>
      <c r="AL29" s="38">
        <f t="shared" si="32"/>
        <v>0</v>
      </c>
      <c r="AM29" s="9"/>
      <c r="AN29" s="9" t="s">
        <v>354</v>
      </c>
    </row>
    <row r="30" spans="1:40" x14ac:dyDescent="0.25">
      <c r="A30" s="8" t="s">
        <v>47</v>
      </c>
      <c r="B30" s="9" t="s">
        <v>53</v>
      </c>
      <c r="C30" s="8" t="s">
        <v>8</v>
      </c>
      <c r="D30" s="37" t="str">
        <f t="shared" si="0"/>
        <v>Bậc 06</v>
      </c>
      <c r="E30" s="10">
        <v>2.86</v>
      </c>
      <c r="F30" s="8" t="s">
        <v>7</v>
      </c>
      <c r="G30" s="37" t="str">
        <f t="shared" si="1"/>
        <v>NV</v>
      </c>
      <c r="H30" s="38">
        <f t="shared" si="2"/>
        <v>0</v>
      </c>
      <c r="I30" s="8" t="s">
        <v>137</v>
      </c>
      <c r="J30" s="37" t="str">
        <f t="shared" si="3"/>
        <v>Không vượt khung</v>
      </c>
      <c r="K30" s="42">
        <f t="shared" si="26"/>
        <v>0</v>
      </c>
      <c r="L30" s="8" t="s">
        <v>3</v>
      </c>
      <c r="M30" s="37" t="str">
        <f t="shared" si="5"/>
        <v>Hưởng khu vực</v>
      </c>
      <c r="N30" s="37">
        <f t="shared" si="6"/>
        <v>0.2</v>
      </c>
      <c r="O30" s="8" t="s">
        <v>137</v>
      </c>
      <c r="P30" s="37" t="str">
        <f t="shared" si="7"/>
        <v>Không thâm niên nghề</v>
      </c>
      <c r="Q30" s="42">
        <f t="shared" si="27"/>
        <v>0</v>
      </c>
      <c r="R30" s="8" t="s">
        <v>11</v>
      </c>
      <c r="S30" s="37" t="str">
        <f t="shared" si="9"/>
        <v>Không độc hại</v>
      </c>
      <c r="T30" s="38">
        <f t="shared" si="10"/>
        <v>0</v>
      </c>
      <c r="U30" s="8" t="s">
        <v>11</v>
      </c>
      <c r="V30" s="37" t="str">
        <f t="shared" si="11"/>
        <v>Không hưởng ưu đãi nghề</v>
      </c>
      <c r="W30" s="42">
        <f t="shared" si="28"/>
        <v>0</v>
      </c>
      <c r="X30" s="8" t="s">
        <v>3</v>
      </c>
      <c r="Y30" s="37" t="str">
        <f t="shared" si="13"/>
        <v>Trách nhiệm</v>
      </c>
      <c r="Z30" s="42">
        <f t="shared" si="14"/>
        <v>0.1</v>
      </c>
      <c r="AA30" s="8" t="s">
        <v>11</v>
      </c>
      <c r="AB30" s="37" t="str">
        <f t="shared" si="15"/>
        <v>Không phụ kiện hợp đồng</v>
      </c>
      <c r="AC30" s="59">
        <f t="shared" si="16"/>
        <v>0</v>
      </c>
      <c r="AD30" s="8" t="s">
        <v>11</v>
      </c>
      <c r="AE30" s="37" t="str">
        <f t="shared" si="17"/>
        <v>Không kiêm nhiệm</v>
      </c>
      <c r="AF30" s="42">
        <f t="shared" si="29"/>
        <v>0</v>
      </c>
      <c r="AG30" s="8" t="s">
        <v>11</v>
      </c>
      <c r="AH30" s="37" t="str">
        <f t="shared" si="30"/>
        <v>Không kiêm nhiệm</v>
      </c>
      <c r="AI30" s="38">
        <f t="shared" si="33"/>
        <v>0</v>
      </c>
      <c r="AJ30" s="8" t="s">
        <v>3</v>
      </c>
      <c r="AK30" s="37" t="str">
        <f t="shared" si="31"/>
        <v>Phụ cấp 116 50%</v>
      </c>
      <c r="AL30" s="38">
        <f t="shared" si="32"/>
        <v>0</v>
      </c>
      <c r="AM30" s="9"/>
      <c r="AN30" s="9" t="s">
        <v>353</v>
      </c>
    </row>
    <row r="31" spans="1:40" x14ac:dyDescent="0.25">
      <c r="A31" s="8" t="s">
        <v>48</v>
      </c>
      <c r="B31" s="9" t="s">
        <v>263</v>
      </c>
      <c r="C31" s="8" t="s">
        <v>4</v>
      </c>
      <c r="D31" s="37" t="str">
        <f t="shared" si="0"/>
        <v>Bậc 02</v>
      </c>
      <c r="E31" s="10">
        <v>2.41</v>
      </c>
      <c r="F31" s="8" t="s">
        <v>7</v>
      </c>
      <c r="G31" s="37" t="str">
        <f t="shared" si="1"/>
        <v>NV</v>
      </c>
      <c r="H31" s="38">
        <f t="shared" si="2"/>
        <v>0</v>
      </c>
      <c r="I31" s="8" t="s">
        <v>137</v>
      </c>
      <c r="J31" s="37" t="str">
        <f t="shared" si="3"/>
        <v>Không vượt khung</v>
      </c>
      <c r="K31" s="42">
        <f t="shared" si="26"/>
        <v>0</v>
      </c>
      <c r="L31" s="8" t="s">
        <v>3</v>
      </c>
      <c r="M31" s="37" t="str">
        <f t="shared" si="5"/>
        <v>Hưởng khu vực</v>
      </c>
      <c r="N31" s="37">
        <f t="shared" si="6"/>
        <v>0.2</v>
      </c>
      <c r="O31" s="8" t="s">
        <v>137</v>
      </c>
      <c r="P31" s="37" t="str">
        <f t="shared" si="7"/>
        <v>Không thâm niên nghề</v>
      </c>
      <c r="Q31" s="42">
        <f t="shared" si="27"/>
        <v>0</v>
      </c>
      <c r="R31" s="8" t="s">
        <v>11</v>
      </c>
      <c r="S31" s="37" t="str">
        <f t="shared" si="9"/>
        <v>Không độc hại</v>
      </c>
      <c r="T31" s="38">
        <f t="shared" si="10"/>
        <v>0</v>
      </c>
      <c r="U31" s="8" t="s">
        <v>11</v>
      </c>
      <c r="V31" s="37" t="str">
        <f t="shared" si="11"/>
        <v>Không hưởng ưu đãi nghề</v>
      </c>
      <c r="W31" s="42">
        <f t="shared" si="28"/>
        <v>0</v>
      </c>
      <c r="X31" s="8" t="s">
        <v>3</v>
      </c>
      <c r="Y31" s="37" t="str">
        <f t="shared" si="13"/>
        <v>Trách nhiệm</v>
      </c>
      <c r="Z31" s="42">
        <f t="shared" si="14"/>
        <v>0.1</v>
      </c>
      <c r="AA31" s="8" t="s">
        <v>11</v>
      </c>
      <c r="AB31" s="37" t="str">
        <f t="shared" si="15"/>
        <v>Không phụ kiện hợp đồng</v>
      </c>
      <c r="AC31" s="59">
        <f t="shared" si="16"/>
        <v>0</v>
      </c>
      <c r="AD31" s="8" t="s">
        <v>11</v>
      </c>
      <c r="AE31" s="37" t="str">
        <f t="shared" si="17"/>
        <v>Không kiêm nhiệm</v>
      </c>
      <c r="AF31" s="42">
        <f t="shared" si="29"/>
        <v>0</v>
      </c>
      <c r="AG31" s="8" t="s">
        <v>3</v>
      </c>
      <c r="AH31" s="37" t="str">
        <f t="shared" si="30"/>
        <v>Phu cấp 116 70%</v>
      </c>
      <c r="AI31" s="38">
        <f t="shared" si="33"/>
        <v>0</v>
      </c>
      <c r="AJ31" s="8" t="s">
        <v>11</v>
      </c>
      <c r="AK31" s="37" t="str">
        <f t="shared" si="31"/>
        <v>Khác</v>
      </c>
      <c r="AL31" s="38">
        <f t="shared" si="32"/>
        <v>0</v>
      </c>
      <c r="AM31" s="9"/>
      <c r="AN31" s="9"/>
    </row>
    <row r="32" spans="1:40" x14ac:dyDescent="0.25">
      <c r="A32" s="8" t="s">
        <v>106</v>
      </c>
      <c r="B32" s="9" t="s">
        <v>64</v>
      </c>
      <c r="C32" s="8" t="s">
        <v>6</v>
      </c>
      <c r="D32" s="37" t="str">
        <f t="shared" si="0"/>
        <v>Bậc 04</v>
      </c>
      <c r="E32" s="10">
        <v>3.33</v>
      </c>
      <c r="F32" s="8" t="s">
        <v>7</v>
      </c>
      <c r="G32" s="37" t="str">
        <f t="shared" si="1"/>
        <v>NV</v>
      </c>
      <c r="H32" s="38">
        <f t="shared" si="2"/>
        <v>0</v>
      </c>
      <c r="I32" s="8" t="s">
        <v>137</v>
      </c>
      <c r="J32" s="37" t="str">
        <f t="shared" si="3"/>
        <v>Không vượt khung</v>
      </c>
      <c r="K32" s="42">
        <f t="shared" si="26"/>
        <v>0</v>
      </c>
      <c r="L32" s="8" t="s">
        <v>3</v>
      </c>
      <c r="M32" s="37" t="str">
        <f t="shared" si="5"/>
        <v>Hưởng khu vực</v>
      </c>
      <c r="N32" s="37">
        <f t="shared" si="6"/>
        <v>0.2</v>
      </c>
      <c r="O32" s="8" t="s">
        <v>137</v>
      </c>
      <c r="P32" s="37" t="str">
        <f t="shared" si="7"/>
        <v>Không thâm niên nghề</v>
      </c>
      <c r="Q32" s="42">
        <f t="shared" si="27"/>
        <v>0</v>
      </c>
      <c r="R32" s="8" t="s">
        <v>11</v>
      </c>
      <c r="S32" s="37" t="str">
        <f t="shared" si="9"/>
        <v>Không độc hại</v>
      </c>
      <c r="T32" s="38">
        <f t="shared" si="10"/>
        <v>0</v>
      </c>
      <c r="U32" s="8" t="s">
        <v>11</v>
      </c>
      <c r="V32" s="37" t="str">
        <f t="shared" si="11"/>
        <v>Không hưởng ưu đãi nghề</v>
      </c>
      <c r="W32" s="42">
        <f t="shared" si="28"/>
        <v>0</v>
      </c>
      <c r="X32" s="8" t="s">
        <v>11</v>
      </c>
      <c r="Y32" s="37" t="str">
        <f t="shared" si="13"/>
        <v>Không trách nhiệm</v>
      </c>
      <c r="Z32" s="42">
        <f t="shared" si="14"/>
        <v>0</v>
      </c>
      <c r="AA32" s="8" t="s">
        <v>11</v>
      </c>
      <c r="AB32" s="37" t="str">
        <f t="shared" si="15"/>
        <v>Không phụ kiện hợp đồng</v>
      </c>
      <c r="AC32" s="59">
        <f t="shared" si="16"/>
        <v>0</v>
      </c>
      <c r="AD32" s="8" t="s">
        <v>11</v>
      </c>
      <c r="AE32" s="37" t="str">
        <f t="shared" si="17"/>
        <v>Không kiêm nhiệm</v>
      </c>
      <c r="AF32" s="42">
        <f t="shared" si="29"/>
        <v>0</v>
      </c>
      <c r="AG32" s="8" t="s">
        <v>3</v>
      </c>
      <c r="AH32" s="37" t="str">
        <f t="shared" si="30"/>
        <v>Phu cấp 116 70%</v>
      </c>
      <c r="AI32" s="38">
        <f t="shared" si="33"/>
        <v>0</v>
      </c>
      <c r="AJ32" s="8" t="s">
        <v>3</v>
      </c>
      <c r="AK32" s="37" t="str">
        <f t="shared" si="31"/>
        <v>Phụ cấp 116 50%</v>
      </c>
      <c r="AL32" s="38">
        <f t="shared" si="32"/>
        <v>0</v>
      </c>
      <c r="AM32" s="9"/>
      <c r="AN32" s="9" t="s">
        <v>288</v>
      </c>
    </row>
    <row r="33" spans="1:42" x14ac:dyDescent="0.25">
      <c r="A33" s="8" t="s">
        <v>113</v>
      </c>
      <c r="B33" s="9" t="s">
        <v>62</v>
      </c>
      <c r="C33" s="8" t="s">
        <v>5</v>
      </c>
      <c r="D33" s="37" t="str">
        <f t="shared" si="0"/>
        <v>Bậc 03</v>
      </c>
      <c r="E33" s="10">
        <v>3</v>
      </c>
      <c r="F33" s="8" t="s">
        <v>7</v>
      </c>
      <c r="G33" s="37" t="str">
        <f t="shared" si="1"/>
        <v>NV</v>
      </c>
      <c r="H33" s="38">
        <f t="shared" si="2"/>
        <v>0</v>
      </c>
      <c r="I33" s="8" t="s">
        <v>137</v>
      </c>
      <c r="J33" s="37" t="str">
        <f t="shared" si="3"/>
        <v>Không vượt khung</v>
      </c>
      <c r="K33" s="42">
        <f>(VLOOKUP(mavuotkhung,vuotkhung,3,0))*E33</f>
        <v>0</v>
      </c>
      <c r="L33" s="8" t="s">
        <v>3</v>
      </c>
      <c r="M33" s="37" t="str">
        <f t="shared" si="5"/>
        <v>Hưởng khu vực</v>
      </c>
      <c r="N33" s="37">
        <f t="shared" si="6"/>
        <v>0.2</v>
      </c>
      <c r="O33" s="8" t="s">
        <v>137</v>
      </c>
      <c r="P33" s="37" t="str">
        <f t="shared" si="7"/>
        <v>Không thâm niên nghề</v>
      </c>
      <c r="Q33" s="42">
        <f>(VLOOKUP(mathamniennghe,thamniennghe,3,0))*(E33+H33+K33)</f>
        <v>0</v>
      </c>
      <c r="R33" s="8" t="s">
        <v>11</v>
      </c>
      <c r="S33" s="37" t="str">
        <f t="shared" si="9"/>
        <v>Không độc hại</v>
      </c>
      <c r="T33" s="38">
        <f t="shared" si="10"/>
        <v>0</v>
      </c>
      <c r="U33" s="8" t="s">
        <v>11</v>
      </c>
      <c r="V33" s="37" t="str">
        <f t="shared" si="11"/>
        <v>Không hưởng ưu đãi nghề</v>
      </c>
      <c r="W33" s="42">
        <f>(VLOOKUP(mauudainghe,uudainghe,3,0))*(E33+H33+K33)</f>
        <v>0</v>
      </c>
      <c r="X33" s="8" t="s">
        <v>11</v>
      </c>
      <c r="Y33" s="37" t="str">
        <f t="shared" si="13"/>
        <v>Không trách nhiệm</v>
      </c>
      <c r="Z33" s="42">
        <f t="shared" si="14"/>
        <v>0</v>
      </c>
      <c r="AA33" s="8" t="s">
        <v>11</v>
      </c>
      <c r="AB33" s="37" t="str">
        <f t="shared" si="15"/>
        <v>Không phụ kiện hợp đồng</v>
      </c>
      <c r="AC33" s="59">
        <f t="shared" si="16"/>
        <v>0</v>
      </c>
      <c r="AD33" s="8" t="s">
        <v>11</v>
      </c>
      <c r="AE33" s="37" t="str">
        <f t="shared" si="17"/>
        <v>Không kiêm nhiệm</v>
      </c>
      <c r="AF33" s="42">
        <f>VLOOKUP(makiemnhiem,kiemnhiem,3,0)*(E33+H33+K33)</f>
        <v>0</v>
      </c>
      <c r="AG33" s="8" t="s">
        <v>11</v>
      </c>
      <c r="AH33" s="37" t="str">
        <f t="shared" si="30"/>
        <v>Không kiêm nhiệm</v>
      </c>
      <c r="AI33" s="38">
        <f t="shared" si="33"/>
        <v>0</v>
      </c>
      <c r="AJ33" s="8" t="s">
        <v>4</v>
      </c>
      <c r="AK33" s="37" t="str">
        <f t="shared" si="31"/>
        <v>Phụ cấp 116 70%</v>
      </c>
      <c r="AL33" s="38">
        <f t="shared" si="32"/>
        <v>0</v>
      </c>
      <c r="AM33" s="9"/>
      <c r="AN33" s="100" t="s">
        <v>359</v>
      </c>
    </row>
    <row r="34" spans="1:42" x14ac:dyDescent="0.25">
      <c r="A34" s="8" t="s">
        <v>225</v>
      </c>
      <c r="B34" s="9" t="s">
        <v>283</v>
      </c>
      <c r="C34" s="8" t="s">
        <v>4</v>
      </c>
      <c r="D34" s="37" t="str">
        <f t="shared" si="0"/>
        <v>Bậc 02</v>
      </c>
      <c r="E34" s="10">
        <v>2.67</v>
      </c>
      <c r="F34" s="8" t="s">
        <v>7</v>
      </c>
      <c r="G34" s="37" t="str">
        <f t="shared" si="1"/>
        <v>NV</v>
      </c>
      <c r="H34" s="38">
        <f t="shared" si="2"/>
        <v>0</v>
      </c>
      <c r="I34" s="8" t="s">
        <v>137</v>
      </c>
      <c r="J34" s="37" t="str">
        <f t="shared" si="3"/>
        <v>Không vượt khung</v>
      </c>
      <c r="K34" s="42">
        <f>(VLOOKUP(mavuotkhung,vuotkhung,3,0))*E34</f>
        <v>0</v>
      </c>
      <c r="L34" s="8" t="s">
        <v>3</v>
      </c>
      <c r="M34" s="37" t="str">
        <f t="shared" si="5"/>
        <v>Hưởng khu vực</v>
      </c>
      <c r="N34" s="37">
        <f t="shared" si="6"/>
        <v>0.2</v>
      </c>
      <c r="O34" s="8" t="s">
        <v>137</v>
      </c>
      <c r="P34" s="37" t="str">
        <f t="shared" si="7"/>
        <v>Không thâm niên nghề</v>
      </c>
      <c r="Q34" s="42">
        <f>(VLOOKUP(mathamniennghe,thamniennghe,3,0))*(E34+H34+K34)</f>
        <v>0</v>
      </c>
      <c r="R34" s="8" t="s">
        <v>11</v>
      </c>
      <c r="S34" s="37" t="str">
        <f t="shared" si="9"/>
        <v>Không độc hại</v>
      </c>
      <c r="T34" s="38">
        <f t="shared" si="10"/>
        <v>0</v>
      </c>
      <c r="U34" s="8" t="s">
        <v>11</v>
      </c>
      <c r="V34" s="37" t="str">
        <f t="shared" si="11"/>
        <v>Không hưởng ưu đãi nghề</v>
      </c>
      <c r="W34" s="42">
        <f>(VLOOKUP(mauudainghe,uudainghe,3,0))*(E34+H34+K34)</f>
        <v>0</v>
      </c>
      <c r="X34" s="8" t="s">
        <v>11</v>
      </c>
      <c r="Y34" s="37" t="str">
        <f t="shared" si="13"/>
        <v>Không trách nhiệm</v>
      </c>
      <c r="Z34" s="42">
        <f t="shared" si="14"/>
        <v>0</v>
      </c>
      <c r="AA34" s="8" t="s">
        <v>11</v>
      </c>
      <c r="AB34" s="37" t="str">
        <f t="shared" si="15"/>
        <v>Không phụ kiện hợp đồng</v>
      </c>
      <c r="AC34" s="59">
        <f t="shared" si="16"/>
        <v>0</v>
      </c>
      <c r="AD34" s="8" t="s">
        <v>11</v>
      </c>
      <c r="AE34" s="37" t="str">
        <f t="shared" si="17"/>
        <v>Không kiêm nhiệm</v>
      </c>
      <c r="AF34" s="42">
        <f>VLOOKUP(makiemnhiem,kiemnhiem,3,0)*(E34+H34+K34)</f>
        <v>0</v>
      </c>
      <c r="AG34" s="8" t="s">
        <v>3</v>
      </c>
      <c r="AH34" s="37" t="str">
        <f t="shared" si="30"/>
        <v>Phu cấp 116 70%</v>
      </c>
      <c r="AI34" s="38">
        <f>VLOOKUP(_ma1670,_pc11670,3,0)*(E34+H34+K34)</f>
        <v>0</v>
      </c>
      <c r="AJ34" s="8" t="s">
        <v>11</v>
      </c>
      <c r="AK34" s="37" t="str">
        <f t="shared" si="31"/>
        <v>Khác</v>
      </c>
      <c r="AL34" s="38">
        <f t="shared" si="32"/>
        <v>0</v>
      </c>
      <c r="AM34" s="9"/>
      <c r="AN34" s="9" t="s">
        <v>103</v>
      </c>
    </row>
    <row r="35" spans="1:42" x14ac:dyDescent="0.25">
      <c r="A35" s="8" t="s">
        <v>226</v>
      </c>
      <c r="B35" s="9" t="s">
        <v>282</v>
      </c>
      <c r="C35" s="8" t="s">
        <v>4</v>
      </c>
      <c r="D35" s="37" t="str">
        <f t="shared" si="0"/>
        <v>Bậc 02</v>
      </c>
      <c r="E35" s="10">
        <v>2.67</v>
      </c>
      <c r="F35" s="8" t="s">
        <v>7</v>
      </c>
      <c r="G35" s="37" t="str">
        <f t="shared" si="1"/>
        <v>NV</v>
      </c>
      <c r="H35" s="38">
        <f t="shared" si="2"/>
        <v>0</v>
      </c>
      <c r="I35" s="8" t="s">
        <v>137</v>
      </c>
      <c r="J35" s="37" t="str">
        <f t="shared" si="3"/>
        <v>Không vượt khung</v>
      </c>
      <c r="K35" s="42">
        <f>(VLOOKUP(mavuotkhung,vuotkhung,3,0))*E35</f>
        <v>0</v>
      </c>
      <c r="L35" s="8" t="s">
        <v>3</v>
      </c>
      <c r="M35" s="37" t="str">
        <f t="shared" si="5"/>
        <v>Hưởng khu vực</v>
      </c>
      <c r="N35" s="37">
        <f t="shared" si="6"/>
        <v>0.2</v>
      </c>
      <c r="O35" s="8" t="s">
        <v>137</v>
      </c>
      <c r="P35" s="37" t="str">
        <f t="shared" si="7"/>
        <v>Không thâm niên nghề</v>
      </c>
      <c r="Q35" s="42">
        <f>(VLOOKUP(mathamniennghe,thamniennghe,3,0))*(E35+H35+K35)</f>
        <v>0</v>
      </c>
      <c r="R35" s="8" t="s">
        <v>11</v>
      </c>
      <c r="S35" s="37" t="str">
        <f t="shared" si="9"/>
        <v>Không độc hại</v>
      </c>
      <c r="T35" s="38">
        <f t="shared" si="10"/>
        <v>0</v>
      </c>
      <c r="U35" s="8" t="s">
        <v>11</v>
      </c>
      <c r="V35" s="37" t="str">
        <f t="shared" si="11"/>
        <v>Không hưởng ưu đãi nghề</v>
      </c>
      <c r="W35" s="42">
        <f>(VLOOKUP(mauudainghe,uudainghe,3,0))*(E35+H35+K35)</f>
        <v>0</v>
      </c>
      <c r="X35" s="8" t="s">
        <v>11</v>
      </c>
      <c r="Y35" s="37" t="str">
        <f t="shared" si="13"/>
        <v>Không trách nhiệm</v>
      </c>
      <c r="Z35" s="42">
        <f t="shared" si="14"/>
        <v>0</v>
      </c>
      <c r="AA35" s="8" t="s">
        <v>11</v>
      </c>
      <c r="AB35" s="37" t="str">
        <f t="shared" si="15"/>
        <v>Không phụ kiện hợp đồng</v>
      </c>
      <c r="AC35" s="59">
        <f t="shared" si="16"/>
        <v>0</v>
      </c>
      <c r="AD35" s="8" t="s">
        <v>11</v>
      </c>
      <c r="AE35" s="37" t="str">
        <f t="shared" si="17"/>
        <v>Không kiêm nhiệm</v>
      </c>
      <c r="AF35" s="42">
        <f t="shared" si="18"/>
        <v>0</v>
      </c>
      <c r="AG35" s="8" t="s">
        <v>3</v>
      </c>
      <c r="AH35" s="37" t="str">
        <f t="shared" si="30"/>
        <v>Phu cấp 116 70%</v>
      </c>
      <c r="AI35" s="38">
        <f t="shared" si="33"/>
        <v>0</v>
      </c>
      <c r="AJ35" s="8" t="s">
        <v>11</v>
      </c>
      <c r="AK35" s="37" t="str">
        <f t="shared" si="31"/>
        <v>Khác</v>
      </c>
      <c r="AL35" s="38">
        <f t="shared" si="32"/>
        <v>0</v>
      </c>
      <c r="AM35" s="9"/>
      <c r="AN35" s="9" t="s">
        <v>103</v>
      </c>
    </row>
    <row r="36" spans="1:42" x14ac:dyDescent="0.25">
      <c r="A36" s="8" t="s">
        <v>227</v>
      </c>
      <c r="B36" s="9" t="s">
        <v>259</v>
      </c>
      <c r="C36" s="8" t="s">
        <v>4</v>
      </c>
      <c r="D36" s="37" t="str">
        <f t="shared" si="0"/>
        <v>Bậc 02</v>
      </c>
      <c r="E36" s="10">
        <v>2.67</v>
      </c>
      <c r="F36" s="8" t="s">
        <v>7</v>
      </c>
      <c r="G36" s="37" t="str">
        <f t="shared" si="1"/>
        <v>NV</v>
      </c>
      <c r="H36" s="38">
        <f t="shared" si="2"/>
        <v>0</v>
      </c>
      <c r="I36" s="8" t="s">
        <v>137</v>
      </c>
      <c r="J36" s="37" t="str">
        <f t="shared" si="3"/>
        <v>Không vượt khung</v>
      </c>
      <c r="K36" s="42">
        <f>(VLOOKUP(mavuotkhung,vuotkhung,3,0))*E36</f>
        <v>0</v>
      </c>
      <c r="L36" s="8" t="s">
        <v>3</v>
      </c>
      <c r="M36" s="37" t="str">
        <f t="shared" si="5"/>
        <v>Hưởng khu vực</v>
      </c>
      <c r="N36" s="37">
        <f t="shared" si="6"/>
        <v>0.2</v>
      </c>
      <c r="O36" s="8" t="s">
        <v>137</v>
      </c>
      <c r="P36" s="37" t="str">
        <f t="shared" si="7"/>
        <v>Không thâm niên nghề</v>
      </c>
      <c r="Q36" s="42">
        <f>(VLOOKUP(mathamniennghe,thamniennghe,3,0))*(E36+H36+K36)</f>
        <v>0</v>
      </c>
      <c r="R36" s="8" t="s">
        <v>11</v>
      </c>
      <c r="S36" s="37" t="str">
        <f t="shared" si="9"/>
        <v>Không độc hại</v>
      </c>
      <c r="T36" s="38">
        <f t="shared" si="10"/>
        <v>0</v>
      </c>
      <c r="U36" s="8" t="s">
        <v>11</v>
      </c>
      <c r="V36" s="37" t="str">
        <f t="shared" si="11"/>
        <v>Không hưởng ưu đãi nghề</v>
      </c>
      <c r="W36" s="42">
        <f>(VLOOKUP(mauudainghe,uudainghe,3,0))*(E36+H36+K36)</f>
        <v>0</v>
      </c>
      <c r="X36" s="8" t="s">
        <v>11</v>
      </c>
      <c r="Y36" s="37" t="str">
        <f t="shared" si="13"/>
        <v>Không trách nhiệm</v>
      </c>
      <c r="Z36" s="42">
        <f t="shared" si="14"/>
        <v>0</v>
      </c>
      <c r="AA36" s="8" t="s">
        <v>11</v>
      </c>
      <c r="AB36" s="37" t="str">
        <f t="shared" si="15"/>
        <v>Không phụ kiện hợp đồng</v>
      </c>
      <c r="AC36" s="59">
        <f t="shared" si="16"/>
        <v>0</v>
      </c>
      <c r="AD36" s="8" t="s">
        <v>11</v>
      </c>
      <c r="AE36" s="37" t="str">
        <f t="shared" si="17"/>
        <v>Không kiêm nhiệm</v>
      </c>
      <c r="AF36" s="42">
        <f>VLOOKUP(makiemnhiem,kiemnhiem,3,0)*(E36+H36+K36)</f>
        <v>0</v>
      </c>
      <c r="AG36" s="8" t="s">
        <v>3</v>
      </c>
      <c r="AH36" s="37" t="str">
        <f t="shared" si="30"/>
        <v>Phu cấp 116 70%</v>
      </c>
      <c r="AI36" s="38">
        <f t="shared" si="33"/>
        <v>0</v>
      </c>
      <c r="AJ36" s="8" t="s">
        <v>11</v>
      </c>
      <c r="AK36" s="37" t="str">
        <f t="shared" si="31"/>
        <v>Khác</v>
      </c>
      <c r="AL36" s="38">
        <f t="shared" si="32"/>
        <v>0</v>
      </c>
      <c r="AM36" s="9"/>
      <c r="AN36" s="9"/>
    </row>
    <row r="37" spans="1:42" x14ac:dyDescent="0.25">
      <c r="A37" s="8" t="s">
        <v>228</v>
      </c>
      <c r="B37" s="9" t="s">
        <v>262</v>
      </c>
      <c r="C37" s="8" t="s">
        <v>5</v>
      </c>
      <c r="D37" s="37" t="str">
        <f t="shared" si="0"/>
        <v>Bậc 03</v>
      </c>
      <c r="E37" s="10">
        <v>3</v>
      </c>
      <c r="F37" s="8" t="s">
        <v>7</v>
      </c>
      <c r="G37" s="37" t="str">
        <f t="shared" si="1"/>
        <v>NV</v>
      </c>
      <c r="H37" s="38">
        <f t="shared" si="2"/>
        <v>0</v>
      </c>
      <c r="I37" s="8" t="s">
        <v>137</v>
      </c>
      <c r="J37" s="37" t="str">
        <f t="shared" si="3"/>
        <v>Không vượt khung</v>
      </c>
      <c r="K37" s="42">
        <f>(VLOOKUP(mavuotkhung,vuotkhung,3,0))*E37</f>
        <v>0</v>
      </c>
      <c r="L37" s="8" t="s">
        <v>3</v>
      </c>
      <c r="M37" s="37" t="str">
        <f t="shared" si="5"/>
        <v>Hưởng khu vực</v>
      </c>
      <c r="N37" s="37">
        <f t="shared" si="6"/>
        <v>0.2</v>
      </c>
      <c r="O37" s="8" t="s">
        <v>137</v>
      </c>
      <c r="P37" s="37" t="str">
        <f t="shared" si="7"/>
        <v>Không thâm niên nghề</v>
      </c>
      <c r="Q37" s="42">
        <f>(VLOOKUP(mathamniennghe,thamniennghe,3,0))*(E37+H37+K37)</f>
        <v>0</v>
      </c>
      <c r="R37" s="8" t="s">
        <v>11</v>
      </c>
      <c r="S37" s="37" t="str">
        <f t="shared" si="9"/>
        <v>Không độc hại</v>
      </c>
      <c r="T37" s="38">
        <f t="shared" si="10"/>
        <v>0</v>
      </c>
      <c r="U37" s="8" t="s">
        <v>11</v>
      </c>
      <c r="V37" s="37" t="str">
        <f t="shared" si="11"/>
        <v>Không hưởng ưu đãi nghề</v>
      </c>
      <c r="W37" s="42">
        <f>(VLOOKUP(mauudainghe,uudainghe,3,0))*(E37+H37+K37)</f>
        <v>0</v>
      </c>
      <c r="X37" s="8" t="s">
        <v>11</v>
      </c>
      <c r="Y37" s="37" t="str">
        <f t="shared" si="13"/>
        <v>Không trách nhiệm</v>
      </c>
      <c r="Z37" s="42">
        <f t="shared" si="14"/>
        <v>0</v>
      </c>
      <c r="AA37" s="8" t="s">
        <v>11</v>
      </c>
      <c r="AB37" s="37" t="str">
        <f t="shared" si="15"/>
        <v>Không phụ kiện hợp đồng</v>
      </c>
      <c r="AC37" s="59">
        <f t="shared" si="16"/>
        <v>0</v>
      </c>
      <c r="AD37" s="8" t="s">
        <v>11</v>
      </c>
      <c r="AE37" s="37" t="str">
        <f t="shared" si="17"/>
        <v>Không kiêm nhiệm</v>
      </c>
      <c r="AF37" s="42">
        <f>VLOOKUP(makiemnhiem,kiemnhiem,3,0)*(E37+H37+K37)</f>
        <v>0</v>
      </c>
      <c r="AG37" s="8" t="s">
        <v>3</v>
      </c>
      <c r="AH37" s="37" t="str">
        <f t="shared" si="30"/>
        <v>Phu cấp 116 70%</v>
      </c>
      <c r="AI37" s="38">
        <f t="shared" si="33"/>
        <v>0</v>
      </c>
      <c r="AJ37" s="8" t="s">
        <v>11</v>
      </c>
      <c r="AK37" s="37" t="str">
        <f t="shared" si="31"/>
        <v>Khác</v>
      </c>
      <c r="AL37" s="38">
        <f t="shared" si="32"/>
        <v>0</v>
      </c>
      <c r="AM37" s="9"/>
      <c r="AN37" s="9"/>
    </row>
    <row r="38" spans="1:42" x14ac:dyDescent="0.25">
      <c r="A38" s="8" t="s">
        <v>229</v>
      </c>
      <c r="B38" s="9" t="s">
        <v>316</v>
      </c>
      <c r="C38" s="8" t="s">
        <v>4</v>
      </c>
      <c r="D38" s="37" t="str">
        <f t="shared" si="0"/>
        <v>Bậc 02</v>
      </c>
      <c r="E38" s="10">
        <v>2.67</v>
      </c>
      <c r="F38" s="8" t="s">
        <v>7</v>
      </c>
      <c r="G38" s="37" t="str">
        <f t="shared" si="1"/>
        <v>NV</v>
      </c>
      <c r="H38" s="38">
        <f t="shared" si="2"/>
        <v>0</v>
      </c>
      <c r="I38" s="8" t="s">
        <v>137</v>
      </c>
      <c r="J38" s="37" t="str">
        <f t="shared" si="3"/>
        <v>Không vượt khung</v>
      </c>
      <c r="K38" s="42">
        <f t="shared" ref="K38:K43" si="34">(VLOOKUP(mavuotkhung,vuotkhung,3,0))*E38</f>
        <v>0</v>
      </c>
      <c r="L38" s="8" t="s">
        <v>3</v>
      </c>
      <c r="M38" s="37" t="str">
        <f t="shared" si="5"/>
        <v>Hưởng khu vực</v>
      </c>
      <c r="N38" s="37">
        <f t="shared" si="6"/>
        <v>0.2</v>
      </c>
      <c r="O38" s="8" t="s">
        <v>137</v>
      </c>
      <c r="P38" s="37" t="str">
        <f t="shared" si="7"/>
        <v>Không thâm niên nghề</v>
      </c>
      <c r="Q38" s="42">
        <f t="shared" ref="Q38:Q43" si="35">(VLOOKUP(mathamniennghe,thamniennghe,3,0))*(E38+H38+K38)</f>
        <v>0</v>
      </c>
      <c r="R38" s="8" t="s">
        <v>11</v>
      </c>
      <c r="S38" s="37" t="str">
        <f t="shared" si="9"/>
        <v>Không độc hại</v>
      </c>
      <c r="T38" s="38">
        <f t="shared" si="10"/>
        <v>0</v>
      </c>
      <c r="U38" s="8" t="s">
        <v>11</v>
      </c>
      <c r="V38" s="37" t="str">
        <f t="shared" si="11"/>
        <v>Không hưởng ưu đãi nghề</v>
      </c>
      <c r="W38" s="42">
        <f t="shared" ref="W38:W43" si="36">(VLOOKUP(mauudainghe,uudainghe,3,0))*(E38+H38+K38)</f>
        <v>0</v>
      </c>
      <c r="X38" s="8" t="s">
        <v>11</v>
      </c>
      <c r="Y38" s="37" t="str">
        <f t="shared" si="13"/>
        <v>Không trách nhiệm</v>
      </c>
      <c r="Z38" s="42">
        <f t="shared" si="14"/>
        <v>0</v>
      </c>
      <c r="AA38" s="8" t="s">
        <v>11</v>
      </c>
      <c r="AB38" s="37" t="str">
        <f t="shared" si="15"/>
        <v>Không phụ kiện hợp đồng</v>
      </c>
      <c r="AC38" s="59">
        <f t="shared" si="16"/>
        <v>0</v>
      </c>
      <c r="AD38" s="8" t="s">
        <v>11</v>
      </c>
      <c r="AE38" s="37" t="str">
        <f t="shared" si="17"/>
        <v>Không kiêm nhiệm</v>
      </c>
      <c r="AF38" s="42">
        <f>VLOOKUP(makiemnhiem,kiemnhiem,3,0)*(E38+H38+K38)</f>
        <v>0</v>
      </c>
      <c r="AG38" s="8" t="s">
        <v>3</v>
      </c>
      <c r="AH38" s="37" t="str">
        <f t="shared" si="30"/>
        <v>Phu cấp 116 70%</v>
      </c>
      <c r="AI38" s="38">
        <f>VLOOKUP(_ma1670,_pc11670,3,0)*(E38+H38+K38)</f>
        <v>0</v>
      </c>
      <c r="AJ38" s="8" t="s">
        <v>11</v>
      </c>
      <c r="AK38" s="37" t="str">
        <f t="shared" si="31"/>
        <v>Khác</v>
      </c>
      <c r="AL38" s="38">
        <f t="shared" si="32"/>
        <v>0</v>
      </c>
      <c r="AM38" s="9"/>
      <c r="AN38" s="9" t="s">
        <v>320</v>
      </c>
    </row>
    <row r="39" spans="1:42" x14ac:dyDescent="0.25">
      <c r="A39" s="8" t="s">
        <v>230</v>
      </c>
      <c r="B39" s="9" t="s">
        <v>317</v>
      </c>
      <c r="C39" s="8" t="s">
        <v>4</v>
      </c>
      <c r="D39" s="37" t="str">
        <f t="shared" si="0"/>
        <v>Bậc 02</v>
      </c>
      <c r="E39" s="10">
        <v>2.67</v>
      </c>
      <c r="F39" s="8" t="s">
        <v>7</v>
      </c>
      <c r="G39" s="37" t="str">
        <f t="shared" si="1"/>
        <v>NV</v>
      </c>
      <c r="H39" s="38">
        <f t="shared" si="2"/>
        <v>0</v>
      </c>
      <c r="I39" s="8" t="s">
        <v>137</v>
      </c>
      <c r="J39" s="37" t="str">
        <f t="shared" si="3"/>
        <v>Không vượt khung</v>
      </c>
      <c r="K39" s="42">
        <f>(VLOOKUP(mavuotkhung,vuotkhung,3,0))*E39</f>
        <v>0</v>
      </c>
      <c r="L39" s="8" t="s">
        <v>3</v>
      </c>
      <c r="M39" s="37" t="str">
        <f t="shared" si="5"/>
        <v>Hưởng khu vực</v>
      </c>
      <c r="N39" s="37">
        <f t="shared" si="6"/>
        <v>0.2</v>
      </c>
      <c r="O39" s="8" t="s">
        <v>137</v>
      </c>
      <c r="P39" s="37" t="str">
        <f t="shared" si="7"/>
        <v>Không thâm niên nghề</v>
      </c>
      <c r="Q39" s="42">
        <f>(VLOOKUP(mathamniennghe,thamniennghe,3,0))*(E39+H39+K39)</f>
        <v>0</v>
      </c>
      <c r="R39" s="8" t="s">
        <v>11</v>
      </c>
      <c r="S39" s="37" t="str">
        <f t="shared" si="9"/>
        <v>Không độc hại</v>
      </c>
      <c r="T39" s="38">
        <f t="shared" si="10"/>
        <v>0</v>
      </c>
      <c r="U39" s="8" t="s">
        <v>11</v>
      </c>
      <c r="V39" s="37" t="str">
        <f t="shared" si="11"/>
        <v>Không hưởng ưu đãi nghề</v>
      </c>
      <c r="W39" s="42">
        <f>(VLOOKUP(mauudainghe,uudainghe,3,0))*(E39+H39+K39)</f>
        <v>0</v>
      </c>
      <c r="X39" s="8" t="s">
        <v>11</v>
      </c>
      <c r="Y39" s="37" t="str">
        <f t="shared" si="13"/>
        <v>Không trách nhiệm</v>
      </c>
      <c r="Z39" s="42">
        <f t="shared" si="14"/>
        <v>0</v>
      </c>
      <c r="AA39" s="8" t="s">
        <v>11</v>
      </c>
      <c r="AB39" s="37" t="str">
        <f t="shared" si="15"/>
        <v>Không phụ kiện hợp đồng</v>
      </c>
      <c r="AC39" s="59">
        <f t="shared" si="16"/>
        <v>0</v>
      </c>
      <c r="AD39" s="8" t="s">
        <v>11</v>
      </c>
      <c r="AE39" s="37" t="str">
        <f t="shared" si="17"/>
        <v>Không kiêm nhiệm</v>
      </c>
      <c r="AF39" s="42">
        <f>VLOOKUP(makiemnhiem,kiemnhiem,3,0)*(E39+H39+K39)</f>
        <v>0</v>
      </c>
      <c r="AG39" s="8" t="s">
        <v>3</v>
      </c>
      <c r="AH39" s="37" t="str">
        <f t="shared" si="30"/>
        <v>Phu cấp 116 70%</v>
      </c>
      <c r="AI39" s="38">
        <f>VLOOKUP(_ma1670,_pc11670,3,0)*(E39+H39+K39)</f>
        <v>0</v>
      </c>
      <c r="AJ39" s="8" t="s">
        <v>11</v>
      </c>
      <c r="AK39" s="37" t="str">
        <f t="shared" si="31"/>
        <v>Khác</v>
      </c>
      <c r="AL39" s="38">
        <f t="shared" si="32"/>
        <v>0</v>
      </c>
      <c r="AM39" s="9"/>
      <c r="AN39" s="9" t="s">
        <v>318</v>
      </c>
    </row>
    <row r="40" spans="1:42" x14ac:dyDescent="0.25">
      <c r="A40" s="8" t="s">
        <v>231</v>
      </c>
      <c r="B40" s="9" t="s">
        <v>65</v>
      </c>
      <c r="C40" s="8" t="s">
        <v>11</v>
      </c>
      <c r="D40" s="37" t="str">
        <f t="shared" si="0"/>
        <v>Bậc 09</v>
      </c>
      <c r="E40" s="10">
        <v>3.49</v>
      </c>
      <c r="F40" s="8" t="s">
        <v>7</v>
      </c>
      <c r="G40" s="37" t="str">
        <f t="shared" si="1"/>
        <v>NV</v>
      </c>
      <c r="H40" s="38">
        <f t="shared" si="2"/>
        <v>0</v>
      </c>
      <c r="I40" s="8" t="s">
        <v>137</v>
      </c>
      <c r="J40" s="37" t="str">
        <f t="shared" si="3"/>
        <v>Không vượt khung</v>
      </c>
      <c r="K40" s="42">
        <f t="shared" si="34"/>
        <v>0</v>
      </c>
      <c r="L40" s="8" t="s">
        <v>3</v>
      </c>
      <c r="M40" s="37" t="str">
        <f t="shared" si="5"/>
        <v>Hưởng khu vực</v>
      </c>
      <c r="N40" s="37">
        <f t="shared" si="6"/>
        <v>0.2</v>
      </c>
      <c r="O40" s="8" t="s">
        <v>137</v>
      </c>
      <c r="P40" s="37" t="str">
        <f t="shared" si="7"/>
        <v>Không thâm niên nghề</v>
      </c>
      <c r="Q40" s="42">
        <f t="shared" si="35"/>
        <v>0</v>
      </c>
      <c r="R40" s="8" t="s">
        <v>11</v>
      </c>
      <c r="S40" s="37" t="str">
        <f t="shared" si="9"/>
        <v>Không độc hại</v>
      </c>
      <c r="T40" s="38">
        <f t="shared" si="10"/>
        <v>0</v>
      </c>
      <c r="U40" s="8" t="s">
        <v>11</v>
      </c>
      <c r="V40" s="37" t="str">
        <f t="shared" si="11"/>
        <v>Không hưởng ưu đãi nghề</v>
      </c>
      <c r="W40" s="42">
        <f t="shared" si="36"/>
        <v>0</v>
      </c>
      <c r="X40" s="8" t="s">
        <v>11</v>
      </c>
      <c r="Y40" s="37" t="str">
        <f t="shared" si="13"/>
        <v>Không trách nhiệm</v>
      </c>
      <c r="Z40" s="42">
        <f t="shared" si="14"/>
        <v>0</v>
      </c>
      <c r="AA40" s="8" t="s">
        <v>11</v>
      </c>
      <c r="AB40" s="37" t="str">
        <f t="shared" si="15"/>
        <v>Không phụ kiện hợp đồng</v>
      </c>
      <c r="AC40" s="59">
        <f t="shared" si="16"/>
        <v>0</v>
      </c>
      <c r="AD40" s="8" t="s">
        <v>11</v>
      </c>
      <c r="AE40" s="37" t="str">
        <f t="shared" si="17"/>
        <v>Không kiêm nhiệm</v>
      </c>
      <c r="AF40" s="42">
        <f t="shared" si="18"/>
        <v>0</v>
      </c>
      <c r="AG40" s="8" t="s">
        <v>11</v>
      </c>
      <c r="AH40" s="37" t="str">
        <f t="shared" si="30"/>
        <v>Không kiêm nhiệm</v>
      </c>
      <c r="AI40" s="38">
        <f t="shared" si="33"/>
        <v>0</v>
      </c>
      <c r="AJ40" s="8" t="s">
        <v>4</v>
      </c>
      <c r="AK40" s="37" t="str">
        <f t="shared" si="31"/>
        <v>Phụ cấp 116 70%</v>
      </c>
      <c r="AL40" s="38">
        <f t="shared" si="32"/>
        <v>0</v>
      </c>
      <c r="AM40" s="9"/>
      <c r="AN40" s="9" t="s">
        <v>343</v>
      </c>
    </row>
    <row r="41" spans="1:42" x14ac:dyDescent="0.25">
      <c r="A41" s="8" t="s">
        <v>232</v>
      </c>
      <c r="B41" s="9" t="s">
        <v>66</v>
      </c>
      <c r="C41" s="8" t="s">
        <v>9</v>
      </c>
      <c r="D41" s="37" t="str">
        <f t="shared" si="0"/>
        <v>Bậc 07</v>
      </c>
      <c r="E41" s="10">
        <v>2.58</v>
      </c>
      <c r="F41" s="8" t="s">
        <v>7</v>
      </c>
      <c r="G41" s="37" t="str">
        <f t="shared" si="1"/>
        <v>NV</v>
      </c>
      <c r="H41" s="38">
        <f t="shared" si="2"/>
        <v>0</v>
      </c>
      <c r="I41" s="8" t="s">
        <v>137</v>
      </c>
      <c r="J41" s="37" t="str">
        <f t="shared" si="3"/>
        <v>Không vượt khung</v>
      </c>
      <c r="K41" s="42">
        <f t="shared" si="34"/>
        <v>0</v>
      </c>
      <c r="L41" s="8" t="s">
        <v>3</v>
      </c>
      <c r="M41" s="37" t="str">
        <f t="shared" si="5"/>
        <v>Hưởng khu vực</v>
      </c>
      <c r="N41" s="37">
        <f t="shared" si="6"/>
        <v>0.2</v>
      </c>
      <c r="O41" s="8" t="s">
        <v>137</v>
      </c>
      <c r="P41" s="37" t="str">
        <f t="shared" si="7"/>
        <v>Không thâm niên nghề</v>
      </c>
      <c r="Q41" s="42">
        <f t="shared" si="35"/>
        <v>0</v>
      </c>
      <c r="R41" s="8" t="s">
        <v>11</v>
      </c>
      <c r="S41" s="37" t="str">
        <f t="shared" si="9"/>
        <v>Không độc hại</v>
      </c>
      <c r="T41" s="38">
        <f t="shared" si="10"/>
        <v>0</v>
      </c>
      <c r="U41" s="8" t="s">
        <v>11</v>
      </c>
      <c r="V41" s="37" t="str">
        <f t="shared" si="11"/>
        <v>Không hưởng ưu đãi nghề</v>
      </c>
      <c r="W41" s="42">
        <f t="shared" si="36"/>
        <v>0</v>
      </c>
      <c r="X41" s="8" t="s">
        <v>11</v>
      </c>
      <c r="Y41" s="37" t="str">
        <f t="shared" si="13"/>
        <v>Không trách nhiệm</v>
      </c>
      <c r="Z41" s="42">
        <f t="shared" si="14"/>
        <v>0</v>
      </c>
      <c r="AA41" s="8" t="s">
        <v>11</v>
      </c>
      <c r="AB41" s="37" t="str">
        <f t="shared" si="15"/>
        <v>Không phụ kiện hợp đồng</v>
      </c>
      <c r="AC41" s="59">
        <f t="shared" si="16"/>
        <v>0</v>
      </c>
      <c r="AD41" s="8" t="s">
        <v>11</v>
      </c>
      <c r="AE41" s="37" t="str">
        <f t="shared" si="17"/>
        <v>Không kiêm nhiệm</v>
      </c>
      <c r="AF41" s="42">
        <f t="shared" si="18"/>
        <v>0</v>
      </c>
      <c r="AG41" s="8" t="s">
        <v>11</v>
      </c>
      <c r="AH41" s="37" t="str">
        <f t="shared" si="30"/>
        <v>Không kiêm nhiệm</v>
      </c>
      <c r="AI41" s="38">
        <f t="shared" si="33"/>
        <v>0</v>
      </c>
      <c r="AJ41" s="8" t="s">
        <v>3</v>
      </c>
      <c r="AK41" s="37" t="str">
        <f t="shared" si="31"/>
        <v>Phụ cấp 116 50%</v>
      </c>
      <c r="AL41" s="38">
        <f t="shared" si="32"/>
        <v>0</v>
      </c>
      <c r="AM41" s="9"/>
      <c r="AN41" s="9" t="s">
        <v>343</v>
      </c>
    </row>
    <row r="42" spans="1:42" x14ac:dyDescent="0.25">
      <c r="A42" s="8" t="s">
        <v>233</v>
      </c>
      <c r="B42" s="9" t="s">
        <v>481</v>
      </c>
      <c r="C42" s="8" t="s">
        <v>3</v>
      </c>
      <c r="D42" s="37" t="str">
        <f t="shared" si="0"/>
        <v>Bậc 01</v>
      </c>
      <c r="E42" s="10">
        <v>1</v>
      </c>
      <c r="F42" s="8" t="s">
        <v>7</v>
      </c>
      <c r="G42" s="37" t="str">
        <f t="shared" si="1"/>
        <v>NV</v>
      </c>
      <c r="H42" s="38">
        <f t="shared" si="2"/>
        <v>0</v>
      </c>
      <c r="I42" s="8" t="s">
        <v>137</v>
      </c>
      <c r="J42" s="37" t="str">
        <f t="shared" si="3"/>
        <v>Không vượt khung</v>
      </c>
      <c r="K42" s="42">
        <f t="shared" si="34"/>
        <v>0</v>
      </c>
      <c r="L42" s="8" t="s">
        <v>3</v>
      </c>
      <c r="M42" s="37" t="str">
        <f t="shared" si="5"/>
        <v>Hưởng khu vực</v>
      </c>
      <c r="N42" s="37">
        <f t="shared" si="6"/>
        <v>0.2</v>
      </c>
      <c r="O42" s="8" t="s">
        <v>137</v>
      </c>
      <c r="P42" s="37" t="str">
        <f t="shared" si="7"/>
        <v>Không thâm niên nghề</v>
      </c>
      <c r="Q42" s="42">
        <f t="shared" si="35"/>
        <v>0</v>
      </c>
      <c r="R42" s="8" t="s">
        <v>11</v>
      </c>
      <c r="S42" s="37" t="str">
        <f t="shared" si="9"/>
        <v>Không độc hại</v>
      </c>
      <c r="T42" s="38">
        <f t="shared" si="10"/>
        <v>0</v>
      </c>
      <c r="U42" s="8" t="s">
        <v>11</v>
      </c>
      <c r="V42" s="37" t="str">
        <f t="shared" si="11"/>
        <v>Không hưởng ưu đãi nghề</v>
      </c>
      <c r="W42" s="42">
        <f t="shared" si="36"/>
        <v>0</v>
      </c>
      <c r="X42" s="8" t="s">
        <v>11</v>
      </c>
      <c r="Y42" s="37" t="str">
        <f t="shared" si="13"/>
        <v>Không trách nhiệm</v>
      </c>
      <c r="Z42" s="42">
        <f t="shared" si="14"/>
        <v>0</v>
      </c>
      <c r="AA42" s="8" t="s">
        <v>11</v>
      </c>
      <c r="AB42" s="37" t="str">
        <f t="shared" si="15"/>
        <v>Không phụ kiện hợp đồng</v>
      </c>
      <c r="AC42" s="59">
        <f t="shared" si="16"/>
        <v>0</v>
      </c>
      <c r="AD42" s="8" t="s">
        <v>11</v>
      </c>
      <c r="AE42" s="37" t="str">
        <f t="shared" si="17"/>
        <v>Không kiêm nhiệm</v>
      </c>
      <c r="AF42" s="42">
        <f t="shared" si="18"/>
        <v>0</v>
      </c>
      <c r="AG42" s="8" t="s">
        <v>11</v>
      </c>
      <c r="AH42" s="37" t="str">
        <f t="shared" si="30"/>
        <v>Không kiêm nhiệm</v>
      </c>
      <c r="AI42" s="38">
        <f t="shared" si="33"/>
        <v>0</v>
      </c>
      <c r="AJ42" s="8" t="s">
        <v>3</v>
      </c>
      <c r="AK42" s="37" t="str">
        <f t="shared" si="31"/>
        <v>Phụ cấp 116 50%</v>
      </c>
      <c r="AL42" s="38">
        <f t="shared" si="32"/>
        <v>0</v>
      </c>
      <c r="AM42" s="9"/>
      <c r="AN42" s="9"/>
      <c r="AP42" s="1">
        <f>508-34</f>
        <v>474</v>
      </c>
    </row>
    <row r="43" spans="1:42" x14ac:dyDescent="0.25">
      <c r="A43" s="8" t="s">
        <v>242</v>
      </c>
      <c r="B43" s="9" t="s">
        <v>67</v>
      </c>
      <c r="C43" s="8" t="s">
        <v>9</v>
      </c>
      <c r="D43" s="37" t="str">
        <f t="shared" si="0"/>
        <v>Bậc 07</v>
      </c>
      <c r="E43" s="10">
        <v>2.08</v>
      </c>
      <c r="F43" s="8" t="s">
        <v>7</v>
      </c>
      <c r="G43" s="37" t="str">
        <f t="shared" si="1"/>
        <v>NV</v>
      </c>
      <c r="H43" s="38">
        <f t="shared" si="2"/>
        <v>0</v>
      </c>
      <c r="I43" s="8" t="s">
        <v>137</v>
      </c>
      <c r="J43" s="37" t="str">
        <f t="shared" si="3"/>
        <v>Không vượt khung</v>
      </c>
      <c r="K43" s="42">
        <f t="shared" si="34"/>
        <v>0</v>
      </c>
      <c r="L43" s="8" t="s">
        <v>3</v>
      </c>
      <c r="M43" s="37" t="str">
        <f t="shared" si="5"/>
        <v>Hưởng khu vực</v>
      </c>
      <c r="N43" s="37">
        <f t="shared" si="6"/>
        <v>0.2</v>
      </c>
      <c r="O43" s="8" t="s">
        <v>137</v>
      </c>
      <c r="P43" s="37" t="str">
        <f t="shared" si="7"/>
        <v>Không thâm niên nghề</v>
      </c>
      <c r="Q43" s="42">
        <f t="shared" si="35"/>
        <v>0</v>
      </c>
      <c r="R43" s="8" t="s">
        <v>4</v>
      </c>
      <c r="S43" s="37" t="str">
        <f t="shared" si="9"/>
        <v>Hưởng độc hại</v>
      </c>
      <c r="T43" s="38">
        <f t="shared" si="10"/>
        <v>0.1</v>
      </c>
      <c r="U43" s="8" t="s">
        <v>11</v>
      </c>
      <c r="V43" s="37" t="str">
        <f t="shared" si="11"/>
        <v>Không hưởng ưu đãi nghề</v>
      </c>
      <c r="W43" s="42">
        <f t="shared" si="36"/>
        <v>0</v>
      </c>
      <c r="X43" s="8" t="s">
        <v>11</v>
      </c>
      <c r="Y43" s="37" t="str">
        <f t="shared" si="13"/>
        <v>Không trách nhiệm</v>
      </c>
      <c r="Z43" s="42">
        <f t="shared" si="14"/>
        <v>0</v>
      </c>
      <c r="AA43" s="8" t="s">
        <v>11</v>
      </c>
      <c r="AB43" s="37" t="str">
        <f t="shared" si="15"/>
        <v>Không phụ kiện hợp đồng</v>
      </c>
      <c r="AC43" s="59">
        <f t="shared" si="16"/>
        <v>0</v>
      </c>
      <c r="AD43" s="8" t="s">
        <v>11</v>
      </c>
      <c r="AE43" s="37" t="str">
        <f t="shared" si="17"/>
        <v>Không kiêm nhiệm</v>
      </c>
      <c r="AF43" s="42">
        <f t="shared" si="18"/>
        <v>0</v>
      </c>
      <c r="AG43" s="8" t="s">
        <v>3</v>
      </c>
      <c r="AH43" s="37" t="str">
        <f t="shared" si="30"/>
        <v>Phu cấp 116 70%</v>
      </c>
      <c r="AI43" s="38">
        <f t="shared" si="33"/>
        <v>0</v>
      </c>
      <c r="AJ43" s="8" t="s">
        <v>3</v>
      </c>
      <c r="AK43" s="37" t="str">
        <f t="shared" si="31"/>
        <v>Phụ cấp 116 50%</v>
      </c>
      <c r="AL43" s="38">
        <f t="shared" si="32"/>
        <v>0</v>
      </c>
      <c r="AM43" s="9"/>
      <c r="AN43" s="9"/>
    </row>
    <row r="44" spans="1:42" x14ac:dyDescent="0.25">
      <c r="A44" s="8" t="s">
        <v>247</v>
      </c>
      <c r="B44" s="9" t="s">
        <v>107</v>
      </c>
      <c r="C44" s="8" t="s">
        <v>7</v>
      </c>
      <c r="D44" s="37" t="str">
        <f t="shared" si="0"/>
        <v>Bậc 05</v>
      </c>
      <c r="E44" s="10">
        <v>2.2200000000000002</v>
      </c>
      <c r="F44" s="8" t="s">
        <v>7</v>
      </c>
      <c r="G44" s="37" t="str">
        <f t="shared" si="1"/>
        <v>NV</v>
      </c>
      <c r="H44" s="38">
        <f t="shared" si="2"/>
        <v>0</v>
      </c>
      <c r="I44" s="8" t="s">
        <v>137</v>
      </c>
      <c r="J44" s="37" t="str">
        <f t="shared" si="3"/>
        <v>Không vượt khung</v>
      </c>
      <c r="K44" s="42">
        <f>(VLOOKUP(mavuotkhung,vuotkhung,3,0))*E44</f>
        <v>0</v>
      </c>
      <c r="L44" s="8" t="s">
        <v>3</v>
      </c>
      <c r="M44" s="37" t="str">
        <f t="shared" si="5"/>
        <v>Hưởng khu vực</v>
      </c>
      <c r="N44" s="37">
        <f t="shared" si="6"/>
        <v>0.2</v>
      </c>
      <c r="O44" s="8" t="s">
        <v>137</v>
      </c>
      <c r="P44" s="37" t="str">
        <f t="shared" si="7"/>
        <v>Không thâm niên nghề</v>
      </c>
      <c r="Q44" s="42">
        <f>(VLOOKUP(mathamniennghe,thamniennghe,3,0))*(E44+H44+K44)</f>
        <v>0</v>
      </c>
      <c r="R44" s="8" t="s">
        <v>11</v>
      </c>
      <c r="S44" s="37" t="str">
        <f t="shared" si="9"/>
        <v>Không độc hại</v>
      </c>
      <c r="T44" s="38">
        <f t="shared" si="10"/>
        <v>0</v>
      </c>
      <c r="U44" s="8" t="s">
        <v>11</v>
      </c>
      <c r="V44" s="37" t="str">
        <f t="shared" si="11"/>
        <v>Không hưởng ưu đãi nghề</v>
      </c>
      <c r="W44" s="42">
        <f>(VLOOKUP(mauudainghe,uudainghe,3,0))*(E44+H44+K44)</f>
        <v>0</v>
      </c>
      <c r="X44" s="8" t="s">
        <v>11</v>
      </c>
      <c r="Y44" s="37" t="str">
        <f t="shared" si="13"/>
        <v>Không trách nhiệm</v>
      </c>
      <c r="Z44" s="42">
        <f t="shared" si="14"/>
        <v>0</v>
      </c>
      <c r="AA44" s="8" t="s">
        <v>11</v>
      </c>
      <c r="AB44" s="37" t="str">
        <f t="shared" si="15"/>
        <v>Không phụ kiện hợp đồng</v>
      </c>
      <c r="AC44" s="59">
        <f t="shared" si="16"/>
        <v>0</v>
      </c>
      <c r="AD44" s="8" t="s">
        <v>11</v>
      </c>
      <c r="AE44" s="37" t="str">
        <f t="shared" si="17"/>
        <v>Không kiêm nhiệm</v>
      </c>
      <c r="AF44" s="42">
        <f t="shared" si="18"/>
        <v>0</v>
      </c>
      <c r="AG44" s="8" t="s">
        <v>11</v>
      </c>
      <c r="AH44" s="37" t="str">
        <f t="shared" si="30"/>
        <v>Không kiêm nhiệm</v>
      </c>
      <c r="AI44" s="38">
        <f t="shared" si="33"/>
        <v>0</v>
      </c>
      <c r="AJ44" s="8" t="s">
        <v>3</v>
      </c>
      <c r="AK44" s="37" t="str">
        <f t="shared" si="31"/>
        <v>Phụ cấp 116 50%</v>
      </c>
      <c r="AL44" s="38">
        <f t="shared" si="32"/>
        <v>0</v>
      </c>
      <c r="AM44" s="9"/>
      <c r="AN44" s="9"/>
    </row>
    <row r="45" spans="1:42" s="107" customFormat="1" x14ac:dyDescent="0.25">
      <c r="A45" s="8" t="s">
        <v>248</v>
      </c>
      <c r="B45" s="100" t="s">
        <v>251</v>
      </c>
      <c r="C45" s="102" t="s">
        <v>6</v>
      </c>
      <c r="D45" s="103" t="str">
        <f t="shared" si="0"/>
        <v>Bậc 04</v>
      </c>
      <c r="E45" s="104">
        <v>2.04</v>
      </c>
      <c r="F45" s="102" t="s">
        <v>7</v>
      </c>
      <c r="G45" s="103" t="str">
        <f t="shared" si="1"/>
        <v>NV</v>
      </c>
      <c r="H45" s="105">
        <f t="shared" si="2"/>
        <v>0</v>
      </c>
      <c r="I45" s="102" t="s">
        <v>137</v>
      </c>
      <c r="J45" s="103" t="str">
        <f t="shared" si="3"/>
        <v>Không vượt khung</v>
      </c>
      <c r="K45" s="106">
        <f>(VLOOKUP(mavuotkhung,vuotkhung,3,0))*E45</f>
        <v>0</v>
      </c>
      <c r="L45" s="102" t="s">
        <v>3</v>
      </c>
      <c r="M45" s="103" t="str">
        <f t="shared" si="5"/>
        <v>Hưởng khu vực</v>
      </c>
      <c r="N45" s="103">
        <f t="shared" si="6"/>
        <v>0.2</v>
      </c>
      <c r="O45" s="102" t="s">
        <v>137</v>
      </c>
      <c r="P45" s="103" t="str">
        <f t="shared" si="7"/>
        <v>Không thâm niên nghề</v>
      </c>
      <c r="Q45" s="106">
        <f>(VLOOKUP(mathamniennghe,thamniennghe,3,0))*(E45+H45+K45)</f>
        <v>0</v>
      </c>
      <c r="R45" s="102" t="s">
        <v>11</v>
      </c>
      <c r="S45" s="103" t="str">
        <f t="shared" si="9"/>
        <v>Không độc hại</v>
      </c>
      <c r="T45" s="105">
        <f t="shared" si="10"/>
        <v>0</v>
      </c>
      <c r="U45" s="102" t="s">
        <v>11</v>
      </c>
      <c r="V45" s="103" t="str">
        <f t="shared" si="11"/>
        <v>Không hưởng ưu đãi nghề</v>
      </c>
      <c r="W45" s="106">
        <f>(VLOOKUP(mauudainghe,uudainghe,3,0))*(E45+H45+K45)</f>
        <v>0</v>
      </c>
      <c r="X45" s="102" t="s">
        <v>11</v>
      </c>
      <c r="Y45" s="103" t="str">
        <f t="shared" si="13"/>
        <v>Không trách nhiệm</v>
      </c>
      <c r="Z45" s="106">
        <f t="shared" si="14"/>
        <v>0</v>
      </c>
      <c r="AA45" s="102" t="s">
        <v>11</v>
      </c>
      <c r="AB45" s="103" t="str">
        <f t="shared" si="15"/>
        <v>Không phụ kiện hợp đồng</v>
      </c>
      <c r="AC45" s="59">
        <f t="shared" si="16"/>
        <v>0</v>
      </c>
      <c r="AD45" s="102" t="s">
        <v>11</v>
      </c>
      <c r="AE45" s="103" t="str">
        <f t="shared" si="17"/>
        <v>Không kiêm nhiệm</v>
      </c>
      <c r="AF45" s="106">
        <f t="shared" si="18"/>
        <v>0</v>
      </c>
      <c r="AG45" s="102" t="s">
        <v>11</v>
      </c>
      <c r="AH45" s="103" t="str">
        <f t="shared" si="30"/>
        <v>Không kiêm nhiệm</v>
      </c>
      <c r="AI45" s="105">
        <f>VLOOKUP(_ma1670,_pc11670,3,0)*(E45+H45+K45)</f>
        <v>0</v>
      </c>
      <c r="AJ45" s="102" t="s">
        <v>3</v>
      </c>
      <c r="AK45" s="103" t="str">
        <f t="shared" si="31"/>
        <v>Phụ cấp 116 50%</v>
      </c>
      <c r="AL45" s="105">
        <f t="shared" si="32"/>
        <v>0</v>
      </c>
      <c r="AM45" s="100"/>
      <c r="AN45" s="100" t="s">
        <v>360</v>
      </c>
    </row>
    <row r="46" spans="1:42" x14ac:dyDescent="0.25">
      <c r="A46" s="8" t="s">
        <v>249</v>
      </c>
      <c r="B46" s="9" t="s">
        <v>275</v>
      </c>
      <c r="C46" s="8" t="s">
        <v>6</v>
      </c>
      <c r="D46" s="37" t="str">
        <f>VLOOKUP(mabacluong,bacluong,2,0)</f>
        <v>Bậc 04</v>
      </c>
      <c r="E46" s="10">
        <v>2.46</v>
      </c>
      <c r="F46" s="8" t="s">
        <v>7</v>
      </c>
      <c r="G46" s="37" t="str">
        <f>VLOOKUP(machucvu,chucvu,2,0)</f>
        <v>NV</v>
      </c>
      <c r="H46" s="38">
        <f>VLOOKUP(machucvu,chucvu,3,0)</f>
        <v>0</v>
      </c>
      <c r="I46" s="8" t="s">
        <v>137</v>
      </c>
      <c r="J46" s="37" t="str">
        <f>VLOOKUP(mavuotkhung,vuotkhung,2,0)</f>
        <v>Không vượt khung</v>
      </c>
      <c r="K46" s="42">
        <f>(VLOOKUP(mavuotkhung,vuotkhung,3,0))*E46</f>
        <v>0</v>
      </c>
      <c r="L46" s="8" t="s">
        <v>3</v>
      </c>
      <c r="M46" s="37" t="str">
        <f>VLOOKUP(makhuvuc,khuvuc,2,0)</f>
        <v>Hưởng khu vực</v>
      </c>
      <c r="N46" s="37">
        <f>VLOOKUP(makhuvuc,khuvuc,3,0)</f>
        <v>0.2</v>
      </c>
      <c r="O46" s="8" t="s">
        <v>137</v>
      </c>
      <c r="P46" s="37" t="str">
        <f>VLOOKUP(mathamniennghe,thamniennghe,2,0)</f>
        <v>Không thâm niên nghề</v>
      </c>
      <c r="Q46" s="42">
        <f>(VLOOKUP(mathamniennghe,thamniennghe,3,0))*(E46+H46+K46)</f>
        <v>0</v>
      </c>
      <c r="R46" s="8" t="s">
        <v>11</v>
      </c>
      <c r="S46" s="37" t="str">
        <f>VLOOKUP(madochai,dochai,2,0)</f>
        <v>Không độc hại</v>
      </c>
      <c r="T46" s="38">
        <f>VLOOKUP(madochai,dochai,3,0)</f>
        <v>0</v>
      </c>
      <c r="U46" s="8" t="s">
        <v>11</v>
      </c>
      <c r="V46" s="37" t="str">
        <f>VLOOKUP(mauudainghe,uudainghe,2,0)</f>
        <v>Không hưởng ưu đãi nghề</v>
      </c>
      <c r="W46" s="42">
        <f>(VLOOKUP(mauudainghe,uudainghe,3,0))*(E46+H46+K46)</f>
        <v>0</v>
      </c>
      <c r="X46" s="8" t="s">
        <v>11</v>
      </c>
      <c r="Y46" s="37" t="str">
        <f>VLOOKUP(matrachnhiem,trachnhiem,2,0)</f>
        <v>Không trách nhiệm</v>
      </c>
      <c r="Z46" s="42">
        <f>VLOOKUP(matrachnhiem,trachnhiem,3,0)</f>
        <v>0</v>
      </c>
      <c r="AA46" s="8" t="s">
        <v>11</v>
      </c>
      <c r="AB46" s="37" t="str">
        <f>VLOOKUP(maphukienhopdong,phukienhopdong,2,0)</f>
        <v>Không phụ kiện hợp đồng</v>
      </c>
      <c r="AC46" s="59">
        <f>VLOOKUP(maphukienhopdong,phukienhopdong,3,0)</f>
        <v>0</v>
      </c>
      <c r="AD46" s="8" t="s">
        <v>11</v>
      </c>
      <c r="AE46" s="37" t="str">
        <f>VLOOKUP(makiemnhiem,kiemnhiem,2,0)</f>
        <v>Không kiêm nhiệm</v>
      </c>
      <c r="AF46" s="42">
        <f>VLOOKUP(makiemnhiem,kiemnhiem,3,0)*(E46+H46+K46)</f>
        <v>0</v>
      </c>
      <c r="AG46" s="8" t="s">
        <v>3</v>
      </c>
      <c r="AH46" s="37" t="str">
        <f t="shared" si="30"/>
        <v>Phu cấp 116 70%</v>
      </c>
      <c r="AI46" s="38">
        <f>VLOOKUP(_ma1670,_pc11670,3,0)*(E46+H46+K46)</f>
        <v>0</v>
      </c>
      <c r="AJ46" s="8" t="s">
        <v>11</v>
      </c>
      <c r="AK46" s="37" t="str">
        <f t="shared" si="31"/>
        <v>Khác</v>
      </c>
      <c r="AL46" s="38">
        <f t="shared" si="32"/>
        <v>0</v>
      </c>
      <c r="AM46" s="9"/>
      <c r="AN46" s="9"/>
    </row>
    <row r="47" spans="1:42" x14ac:dyDescent="0.25">
      <c r="A47" s="8" t="s">
        <v>250</v>
      </c>
      <c r="B47" s="9" t="s">
        <v>287</v>
      </c>
      <c r="C47" s="8" t="s">
        <v>7</v>
      </c>
      <c r="D47" s="37" t="str">
        <f>VLOOKUP(mabacluong,bacluong,2,0)</f>
        <v>Bậc 05</v>
      </c>
      <c r="E47" s="10">
        <v>2.66</v>
      </c>
      <c r="F47" s="8" t="s">
        <v>7</v>
      </c>
      <c r="G47" s="37" t="str">
        <f>VLOOKUP(machucvu,chucvu,2,0)</f>
        <v>NV</v>
      </c>
      <c r="H47" s="38">
        <f>VLOOKUP(machucvu,chucvu,3,0)</f>
        <v>0</v>
      </c>
      <c r="I47" s="8" t="s">
        <v>137</v>
      </c>
      <c r="J47" s="37" t="str">
        <f>VLOOKUP(mavuotkhung,vuotkhung,2,0)</f>
        <v>Không vượt khung</v>
      </c>
      <c r="K47" s="42">
        <f>(VLOOKUP(mavuotkhung,vuotkhung,3,0))*E47</f>
        <v>0</v>
      </c>
      <c r="L47" s="8" t="s">
        <v>3</v>
      </c>
      <c r="M47" s="37" t="str">
        <f>VLOOKUP(makhuvuc,khuvuc,2,0)</f>
        <v>Hưởng khu vực</v>
      </c>
      <c r="N47" s="37">
        <f>VLOOKUP(makhuvuc,khuvuc,3,0)</f>
        <v>0.2</v>
      </c>
      <c r="O47" s="8" t="s">
        <v>137</v>
      </c>
      <c r="P47" s="37" t="str">
        <f>VLOOKUP(mathamniennghe,thamniennghe,2,0)</f>
        <v>Không thâm niên nghề</v>
      </c>
      <c r="Q47" s="42">
        <f>(VLOOKUP(mathamniennghe,thamniennghe,3,0))*(E47+H47+K47)</f>
        <v>0</v>
      </c>
      <c r="R47" s="8" t="s">
        <v>11</v>
      </c>
      <c r="S47" s="37" t="str">
        <f>VLOOKUP(madochai,dochai,2,0)</f>
        <v>Không độc hại</v>
      </c>
      <c r="T47" s="38">
        <f>VLOOKUP(madochai,dochai,3,0)</f>
        <v>0</v>
      </c>
      <c r="U47" s="8" t="s">
        <v>11</v>
      </c>
      <c r="V47" s="37" t="str">
        <f>VLOOKUP(mauudainghe,uudainghe,2,0)</f>
        <v>Không hưởng ưu đãi nghề</v>
      </c>
      <c r="W47" s="42">
        <f>(VLOOKUP(mauudainghe,uudainghe,3,0))*(E47+H47+K47)</f>
        <v>0</v>
      </c>
      <c r="X47" s="8" t="s">
        <v>11</v>
      </c>
      <c r="Y47" s="37" t="str">
        <f>VLOOKUP(matrachnhiem,trachnhiem,2,0)</f>
        <v>Không trách nhiệm</v>
      </c>
      <c r="Z47" s="42">
        <f>VLOOKUP(matrachnhiem,trachnhiem,3,0)</f>
        <v>0</v>
      </c>
      <c r="AA47" s="8" t="s">
        <v>11</v>
      </c>
      <c r="AB47" s="37" t="str">
        <f>VLOOKUP(maphukienhopdong,phukienhopdong,2,0)</f>
        <v>Không phụ kiện hợp đồng</v>
      </c>
      <c r="AC47" s="59">
        <f>VLOOKUP(maphukienhopdong,phukienhopdong,3,0)</f>
        <v>0</v>
      </c>
      <c r="AD47" s="8" t="s">
        <v>11</v>
      </c>
      <c r="AE47" s="37" t="str">
        <f>VLOOKUP(makiemnhiem,kiemnhiem,2,0)</f>
        <v>Không kiêm nhiệm</v>
      </c>
      <c r="AF47" s="42">
        <f>VLOOKUP(makiemnhiem,kiemnhiem,3,0)*(E47+H47+K47)</f>
        <v>0</v>
      </c>
      <c r="AG47" s="8" t="s">
        <v>11</v>
      </c>
      <c r="AH47" s="37" t="str">
        <f t="shared" si="30"/>
        <v>Không kiêm nhiệm</v>
      </c>
      <c r="AI47" s="38">
        <f>VLOOKUP(_ma1670,_pc11670,3,0)*(E47+H47+K47)</f>
        <v>0</v>
      </c>
      <c r="AJ47" s="8" t="s">
        <v>3</v>
      </c>
      <c r="AK47" s="37" t="str">
        <f t="shared" si="31"/>
        <v>Phụ cấp 116 50%</v>
      </c>
      <c r="AL47" s="38">
        <f t="shared" si="32"/>
        <v>0</v>
      </c>
      <c r="AM47" s="9"/>
      <c r="AN47" s="9"/>
    </row>
    <row r="48" spans="1:42" x14ac:dyDescent="0.25">
      <c r="A48" s="8" t="s">
        <v>258</v>
      </c>
      <c r="B48" s="9" t="s">
        <v>344</v>
      </c>
      <c r="C48" s="8" t="s">
        <v>5</v>
      </c>
      <c r="D48" s="37" t="str">
        <f>VLOOKUP(mabacluong,bacluong,2,0)</f>
        <v>Bậc 03</v>
      </c>
      <c r="E48" s="10">
        <v>1.86</v>
      </c>
      <c r="F48" s="8" t="s">
        <v>7</v>
      </c>
      <c r="G48" s="37" t="str">
        <f>VLOOKUP(machucvu,chucvu,2,0)</f>
        <v>NV</v>
      </c>
      <c r="H48" s="38">
        <f>VLOOKUP(machucvu,chucvu,3,0)</f>
        <v>0</v>
      </c>
      <c r="I48" s="8" t="s">
        <v>137</v>
      </c>
      <c r="J48" s="37" t="str">
        <f>VLOOKUP(mavuotkhung,vuotkhung,2,0)</f>
        <v>Không vượt khung</v>
      </c>
      <c r="K48" s="42">
        <f>(VLOOKUP(mavuotkhung,vuotkhung,3,0))*E48</f>
        <v>0</v>
      </c>
      <c r="L48" s="8" t="s">
        <v>3</v>
      </c>
      <c r="M48" s="37" t="str">
        <f>VLOOKUP(makhuvuc,khuvuc,2,0)</f>
        <v>Hưởng khu vực</v>
      </c>
      <c r="N48" s="37">
        <f>VLOOKUP(makhuvuc,khuvuc,3,0)</f>
        <v>0.2</v>
      </c>
      <c r="O48" s="8" t="s">
        <v>137</v>
      </c>
      <c r="P48" s="37" t="str">
        <f>VLOOKUP(mathamniennghe,thamniennghe,2,0)</f>
        <v>Không thâm niên nghề</v>
      </c>
      <c r="Q48" s="42">
        <f>(VLOOKUP(mathamniennghe,thamniennghe,3,0))*(E48+H48+K48)</f>
        <v>0</v>
      </c>
      <c r="R48" s="8" t="s">
        <v>11</v>
      </c>
      <c r="S48" s="37" t="str">
        <f>VLOOKUP(madochai,dochai,2,0)</f>
        <v>Không độc hại</v>
      </c>
      <c r="T48" s="38">
        <f>VLOOKUP(madochai,dochai,3,0)</f>
        <v>0</v>
      </c>
      <c r="U48" s="8" t="s">
        <v>11</v>
      </c>
      <c r="V48" s="37" t="str">
        <f>VLOOKUP(mauudainghe,uudainghe,2,0)</f>
        <v>Không hưởng ưu đãi nghề</v>
      </c>
      <c r="W48" s="42">
        <f>(VLOOKUP(mauudainghe,uudainghe,3,0))*(E48+H48+K48)</f>
        <v>0</v>
      </c>
      <c r="X48" s="8" t="s">
        <v>11</v>
      </c>
      <c r="Y48" s="37" t="str">
        <f>VLOOKUP(matrachnhiem,trachnhiem,2,0)</f>
        <v>Không trách nhiệm</v>
      </c>
      <c r="Z48" s="42">
        <f>VLOOKUP(matrachnhiem,trachnhiem,3,0)</f>
        <v>0</v>
      </c>
      <c r="AA48" s="8" t="s">
        <v>3</v>
      </c>
      <c r="AB48" s="37" t="str">
        <f>VLOOKUP(maphukienhopdong,phukienhopdong,2,0)</f>
        <v>Phụ kiện hợp đồng</v>
      </c>
      <c r="AC48" s="59">
        <v>300000</v>
      </c>
      <c r="AD48" s="8" t="s">
        <v>11</v>
      </c>
      <c r="AE48" s="37" t="str">
        <f>VLOOKUP(makiemnhiem,kiemnhiem,2,0)</f>
        <v>Không kiêm nhiệm</v>
      </c>
      <c r="AF48" s="42">
        <f>VLOOKUP(makiemnhiem,kiemnhiem,3,0)*(E48+H48+K48)</f>
        <v>0</v>
      </c>
      <c r="AG48" s="8" t="s">
        <v>3</v>
      </c>
      <c r="AH48" s="37" t="str">
        <f t="shared" si="30"/>
        <v>Phu cấp 116 70%</v>
      </c>
      <c r="AI48" s="38">
        <f>VLOOKUP(_ma1670,_pc11670,3,0)*(E48+H48+K48)</f>
        <v>0</v>
      </c>
      <c r="AJ48" s="8" t="s">
        <v>11</v>
      </c>
      <c r="AK48" s="37" t="str">
        <f t="shared" si="31"/>
        <v>Khác</v>
      </c>
      <c r="AL48" s="38">
        <f t="shared" si="32"/>
        <v>0</v>
      </c>
      <c r="AM48" s="9"/>
      <c r="AN48" s="9" t="s">
        <v>345</v>
      </c>
    </row>
  </sheetData>
  <mergeCells count="14">
    <mergeCell ref="AD1:AF1"/>
    <mergeCell ref="U1:W1"/>
    <mergeCell ref="X1:Z1"/>
    <mergeCell ref="AA1:AC1"/>
    <mergeCell ref="AJ1:AL1"/>
    <mergeCell ref="AG1:AI1"/>
    <mergeCell ref="R1:T1"/>
    <mergeCell ref="A1:A2"/>
    <mergeCell ref="B1:B2"/>
    <mergeCell ref="F1:H1"/>
    <mergeCell ref="C1:E1"/>
    <mergeCell ref="I1:K1"/>
    <mergeCell ref="O1:Q1"/>
    <mergeCell ref="L1:N1"/>
  </mergeCells>
  <phoneticPr fontId="3" type="noConversion"/>
  <pageMargins left="0.75" right="0.75" top="1" bottom="1" header="0.5" footer="0.5"/>
  <pageSetup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3"/>
  </sheetPr>
  <dimension ref="A1:V89"/>
  <sheetViews>
    <sheetView workbookViewId="0">
      <pane xSplit="2" ySplit="2" topLeftCell="C39" activePane="bottomRight" state="frozen"/>
      <selection activeCell="B1" sqref="B1"/>
      <selection pane="topRight" activeCell="C1" sqref="C1"/>
      <selection pane="bottomLeft" activeCell="B3" sqref="B3"/>
      <selection pane="bottomRight" activeCell="S23" sqref="S23"/>
    </sheetView>
  </sheetViews>
  <sheetFormatPr defaultColWidth="9.109375" defaultRowHeight="13.2" x14ac:dyDescent="0.25"/>
  <cols>
    <col min="1" max="1" width="4.44140625" style="1" customWidth="1"/>
    <col min="2" max="2" width="16.109375" style="1" customWidth="1"/>
    <col min="3" max="3" width="7" style="1" customWidth="1"/>
    <col min="4" max="4" width="5.109375" style="1" customWidth="1"/>
    <col min="5" max="6" width="7" style="1" customWidth="1"/>
    <col min="7" max="7" width="6.5546875" style="1" customWidth="1"/>
    <col min="8" max="8" width="8.109375" style="1" customWidth="1"/>
    <col min="9" max="10" width="6.5546875" style="1" customWidth="1"/>
    <col min="11" max="11" width="7.5546875" style="1" customWidth="1"/>
    <col min="12" max="12" width="7.44140625" style="1" customWidth="1"/>
    <col min="13" max="13" width="4.6640625" style="1" customWidth="1"/>
    <col min="14" max="14" width="10.44140625" style="1" customWidth="1"/>
    <col min="15" max="15" width="9.5546875" style="1" customWidth="1"/>
    <col min="16" max="16" width="8.88671875" style="1" customWidth="1"/>
    <col min="17" max="17" width="9" style="1" customWidth="1"/>
    <col min="18" max="18" width="7.88671875" style="1" customWidth="1"/>
    <col min="19" max="19" width="10.88671875" style="1" customWidth="1"/>
    <col min="20" max="20" width="10.6640625" style="1" bestFit="1" customWidth="1"/>
    <col min="21" max="21" width="12.6640625" style="1" customWidth="1"/>
    <col min="22" max="22" width="11.109375" style="1" bestFit="1" customWidth="1"/>
    <col min="23" max="16384" width="9.109375" style="1"/>
  </cols>
  <sheetData>
    <row r="1" spans="1:21" ht="32.25" customHeight="1" x14ac:dyDescent="0.35">
      <c r="B1" s="279" t="str">
        <f>thang</f>
        <v>Tháng 7 Năm 2019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</row>
    <row r="2" spans="1:21" s="45" customFormat="1" ht="48" x14ac:dyDescent="0.25">
      <c r="A2" s="44" t="s">
        <v>68</v>
      </c>
      <c r="B2" s="44" t="s">
        <v>22</v>
      </c>
      <c r="C2" s="44" t="s">
        <v>23</v>
      </c>
      <c r="D2" s="44" t="s">
        <v>2</v>
      </c>
      <c r="E2" s="44" t="s">
        <v>114</v>
      </c>
      <c r="F2" s="44" t="s">
        <v>69</v>
      </c>
      <c r="G2" s="44" t="s">
        <v>169</v>
      </c>
      <c r="H2" s="44" t="s">
        <v>206</v>
      </c>
      <c r="I2" s="44" t="s">
        <v>209</v>
      </c>
      <c r="J2" s="44" t="s">
        <v>70</v>
      </c>
      <c r="K2" s="44" t="s">
        <v>213</v>
      </c>
      <c r="L2" s="67" t="s">
        <v>297</v>
      </c>
      <c r="M2" s="44" t="s">
        <v>298</v>
      </c>
      <c r="N2" s="44" t="s">
        <v>25</v>
      </c>
      <c r="O2" s="44" t="s">
        <v>75</v>
      </c>
      <c r="P2" s="44" t="s">
        <v>74</v>
      </c>
      <c r="Q2" s="44" t="s">
        <v>217</v>
      </c>
      <c r="R2" s="44" t="s">
        <v>240</v>
      </c>
      <c r="S2" s="44" t="s">
        <v>26</v>
      </c>
    </row>
    <row r="3" spans="1:21" s="51" customFormat="1" ht="15" customHeight="1" x14ac:dyDescent="0.25">
      <c r="A3" s="46" t="s">
        <v>3</v>
      </c>
      <c r="B3" s="47" t="str">
        <f t="shared" ref="B3:B44" si="0">VLOOKUP(manhanvien,nhanvien,2,FALSE)</f>
        <v>Châu Văn Văn</v>
      </c>
      <c r="C3" s="48">
        <f t="shared" ref="C3:C44" si="1">VLOOKUP(manhanvien,nhanvien,5,FALSE)</f>
        <v>6.1</v>
      </c>
      <c r="D3" s="48">
        <f t="shared" ref="D3:D44" si="2">VLOOKUP(manhanvien,nhanvien,8,FALSE)</f>
        <v>0.9</v>
      </c>
      <c r="E3" s="49">
        <f t="shared" ref="E3:E38" si="3">VLOOKUP(manhanvien,nhanvien,11,FALSE)</f>
        <v>0</v>
      </c>
      <c r="F3" s="204">
        <f t="shared" ref="F3:F44" si="4">VLOOKUP(manhanvien,nhanvien,14,FALSE)</f>
        <v>0.2</v>
      </c>
      <c r="G3" s="49">
        <f t="shared" ref="G3:G38" si="5">VLOOKUP(manhanvien,nhanvien,17,FALSE)</f>
        <v>0.63</v>
      </c>
      <c r="H3" s="49">
        <f t="shared" ref="H3:H44" si="6">VLOOKUP(manhanvien,nhanvien,20,FALSE)</f>
        <v>0</v>
      </c>
      <c r="I3" s="49">
        <f t="shared" ref="I3:I44" si="7">VLOOKUP(manhanvien,nhanvien,23,FALSE)</f>
        <v>1.4000000000000001</v>
      </c>
      <c r="J3" s="49">
        <f t="shared" ref="J3:J22" si="8">VLOOKUP(manhanvien,nhanvien,26,FALSE)</f>
        <v>0</v>
      </c>
      <c r="K3" s="49">
        <f t="shared" ref="K3:K44" si="9">VLOOKUP(manhanvien,nhanvien,32,FALSE)</f>
        <v>0.70000000000000007</v>
      </c>
      <c r="L3" s="49">
        <f t="shared" ref="L3:L44" si="10">VLOOKUP(manhanvien,nhanvien,35,FALSE)</f>
        <v>0</v>
      </c>
      <c r="M3" s="48">
        <f t="shared" ref="M3:M44" si="11">VLOOKUP(manhanvien,nhanvien,38,FALSE)</f>
        <v>0</v>
      </c>
      <c r="N3" s="50">
        <f>SUM(C3:M3)*luongcanban</f>
        <v>14795700</v>
      </c>
      <c r="O3" s="50">
        <f>(SUM(C3:E3)+G3)*luongcanban*bhxh_1</f>
        <v>909496</v>
      </c>
      <c r="P3" s="50">
        <f>(SUM(C3:E3)+G3)*luongcanban*bhyt_1</f>
        <v>170530.5</v>
      </c>
      <c r="Q3" s="50">
        <v>0</v>
      </c>
      <c r="R3" s="50">
        <f t="shared" ref="R3:R44" si="12">VLOOKUP(manhanvien,nhanvien,29,FALSE)</f>
        <v>0</v>
      </c>
      <c r="S3" s="50">
        <f>N3-O3-P3-Q3+R3</f>
        <v>13715673.5</v>
      </c>
      <c r="U3" s="50">
        <f>S3-[1]TH_LUONG!$S$3</f>
        <v>2395944.2999999989</v>
      </c>
    </row>
    <row r="4" spans="1:21" s="51" customFormat="1" ht="15" customHeight="1" x14ac:dyDescent="0.25">
      <c r="A4" s="46" t="s">
        <v>4</v>
      </c>
      <c r="B4" s="47" t="str">
        <f t="shared" si="0"/>
        <v>Huỳnh Hữu Phương</v>
      </c>
      <c r="C4" s="48">
        <f t="shared" si="1"/>
        <v>4.9800000000000004</v>
      </c>
      <c r="D4" s="48">
        <f t="shared" si="2"/>
        <v>0.7</v>
      </c>
      <c r="E4" s="49">
        <f t="shared" si="3"/>
        <v>0.34860000000000008</v>
      </c>
      <c r="F4" s="204">
        <f t="shared" si="4"/>
        <v>0.2</v>
      </c>
      <c r="G4" s="49">
        <f t="shared" si="5"/>
        <v>0</v>
      </c>
      <c r="H4" s="49">
        <f t="shared" si="6"/>
        <v>0</v>
      </c>
      <c r="I4" s="49">
        <f t="shared" si="7"/>
        <v>0</v>
      </c>
      <c r="J4" s="49">
        <f t="shared" si="8"/>
        <v>0</v>
      </c>
      <c r="K4" s="49">
        <f t="shared" si="9"/>
        <v>0</v>
      </c>
      <c r="L4" s="49">
        <f t="shared" si="10"/>
        <v>0</v>
      </c>
      <c r="M4" s="48">
        <f t="shared" si="11"/>
        <v>0</v>
      </c>
      <c r="N4" s="50">
        <f>SUM(C4:M4)*luongcanban</f>
        <v>9280614.0000000019</v>
      </c>
      <c r="O4" s="50">
        <f>(SUM(C4:E4)+G4)*luongcanban*bhxh_1</f>
        <v>718609.12000000011</v>
      </c>
      <c r="P4" s="50">
        <f>(SUM(C4:E4)+G4)*luongcanban*bhyt_1</f>
        <v>134739.21000000002</v>
      </c>
      <c r="Q4" s="50">
        <f>(SUM(C4:E4)+G4)*luongcanban*bhtn_1</f>
        <v>89826.140000000014</v>
      </c>
      <c r="R4" s="50">
        <f t="shared" si="12"/>
        <v>0</v>
      </c>
      <c r="S4" s="50">
        <f>N4-O4-P4-Q4+R4</f>
        <v>8337439.5300000021</v>
      </c>
      <c r="U4" s="50">
        <f>S4-[1]TH_LUONG!$S$3</f>
        <v>-2982289.669999999</v>
      </c>
    </row>
    <row r="5" spans="1:21" s="51" customFormat="1" ht="15" customHeight="1" x14ac:dyDescent="0.25">
      <c r="A5" s="46" t="s">
        <v>5</v>
      </c>
      <c r="B5" s="47" t="str">
        <f t="shared" si="0"/>
        <v>Tạ Ngọc Dân</v>
      </c>
      <c r="C5" s="48">
        <f t="shared" si="1"/>
        <v>4.32</v>
      </c>
      <c r="D5" s="48">
        <f t="shared" si="2"/>
        <v>0.7</v>
      </c>
      <c r="E5" s="49">
        <f t="shared" si="3"/>
        <v>0</v>
      </c>
      <c r="F5" s="204">
        <f t="shared" si="4"/>
        <v>0.2</v>
      </c>
      <c r="G5" s="49">
        <f t="shared" si="5"/>
        <v>0</v>
      </c>
      <c r="H5" s="49">
        <f t="shared" si="6"/>
        <v>0</v>
      </c>
      <c r="I5" s="49">
        <f t="shared" si="7"/>
        <v>0</v>
      </c>
      <c r="J5" s="49">
        <f t="shared" si="8"/>
        <v>0</v>
      </c>
      <c r="K5" s="49">
        <f t="shared" si="9"/>
        <v>0</v>
      </c>
      <c r="L5" s="49">
        <f t="shared" si="10"/>
        <v>0</v>
      </c>
      <c r="M5" s="48">
        <f t="shared" si="11"/>
        <v>0</v>
      </c>
      <c r="N5" s="50">
        <f t="shared" ref="N5:N39" si="13">SUM(C5:M5)*luongcanban</f>
        <v>7777800.0000000009</v>
      </c>
      <c r="O5" s="50">
        <f t="shared" ref="O5:O39" si="14">(SUM(C5:E5)+G5)*luongcanban*bhxh_1</f>
        <v>598384.00000000012</v>
      </c>
      <c r="P5" s="50">
        <f t="shared" ref="P5:P39" si="15">(SUM(C5:E5)+G5)*luongcanban*bhyt_1</f>
        <v>112197.00000000001</v>
      </c>
      <c r="Q5" s="50">
        <f t="shared" ref="Q5:Q39" si="16">(SUM(C5:E5)+G5)*luongcanban*bhtn_1</f>
        <v>74798.000000000015</v>
      </c>
      <c r="R5" s="50">
        <f t="shared" si="12"/>
        <v>0</v>
      </c>
      <c r="S5" s="50">
        <f t="shared" ref="S5:S39" si="17">N5-O5-P5-Q5+R5</f>
        <v>6992421.0000000009</v>
      </c>
      <c r="U5" s="50">
        <f>S5-[1]TH_LUONG!$S$3</f>
        <v>-4327308.2</v>
      </c>
    </row>
    <row r="6" spans="1:21" s="51" customFormat="1" ht="15" customHeight="1" x14ac:dyDescent="0.25">
      <c r="A6" s="46" t="s">
        <v>6</v>
      </c>
      <c r="B6" s="47" t="str">
        <f t="shared" si="0"/>
        <v>Nguyễn Văn Cường</v>
      </c>
      <c r="C6" s="48">
        <f t="shared" si="1"/>
        <v>3.99</v>
      </c>
      <c r="D6" s="48">
        <f t="shared" si="2"/>
        <v>0.5</v>
      </c>
      <c r="E6" s="49">
        <f t="shared" si="3"/>
        <v>0</v>
      </c>
      <c r="F6" s="204">
        <f t="shared" si="4"/>
        <v>0.2</v>
      </c>
      <c r="G6" s="49">
        <f t="shared" si="5"/>
        <v>0</v>
      </c>
      <c r="H6" s="49">
        <f t="shared" si="6"/>
        <v>0</v>
      </c>
      <c r="I6" s="49">
        <f t="shared" si="7"/>
        <v>0</v>
      </c>
      <c r="J6" s="49">
        <f t="shared" si="8"/>
        <v>0.1</v>
      </c>
      <c r="K6" s="49">
        <f t="shared" si="9"/>
        <v>0</v>
      </c>
      <c r="L6" s="49">
        <f t="shared" si="10"/>
        <v>0</v>
      </c>
      <c r="M6" s="48">
        <f t="shared" si="11"/>
        <v>0</v>
      </c>
      <c r="N6" s="50">
        <f t="shared" si="13"/>
        <v>7137100</v>
      </c>
      <c r="O6" s="50">
        <f t="shared" si="14"/>
        <v>535208</v>
      </c>
      <c r="P6" s="50">
        <f t="shared" si="15"/>
        <v>100351.5</v>
      </c>
      <c r="Q6" s="50">
        <f t="shared" si="16"/>
        <v>66901</v>
      </c>
      <c r="R6" s="50">
        <f t="shared" si="12"/>
        <v>0</v>
      </c>
      <c r="S6" s="50">
        <f t="shared" si="17"/>
        <v>6434639.5</v>
      </c>
      <c r="U6" s="50">
        <f>S6-[1]TH_LUONG!$S$3</f>
        <v>-4885089.7000000011</v>
      </c>
    </row>
    <row r="7" spans="1:21" s="51" customFormat="1" ht="15" customHeight="1" x14ac:dyDescent="0.25">
      <c r="A7" s="46" t="s">
        <v>7</v>
      </c>
      <c r="B7" s="47" t="str">
        <f t="shared" si="0"/>
        <v>Trần Văn Lành</v>
      </c>
      <c r="C7" s="48">
        <f t="shared" si="1"/>
        <v>3.33</v>
      </c>
      <c r="D7" s="48">
        <f t="shared" si="2"/>
        <v>0.3</v>
      </c>
      <c r="E7" s="49">
        <f t="shared" si="3"/>
        <v>0</v>
      </c>
      <c r="F7" s="204">
        <f t="shared" si="4"/>
        <v>0.2</v>
      </c>
      <c r="G7" s="49">
        <f t="shared" si="5"/>
        <v>0</v>
      </c>
      <c r="H7" s="49">
        <f t="shared" si="6"/>
        <v>0</v>
      </c>
      <c r="I7" s="49">
        <f t="shared" si="7"/>
        <v>0</v>
      </c>
      <c r="J7" s="49">
        <f t="shared" si="8"/>
        <v>0</v>
      </c>
      <c r="K7" s="49">
        <f t="shared" si="9"/>
        <v>0</v>
      </c>
      <c r="L7" s="49">
        <f t="shared" si="10"/>
        <v>0</v>
      </c>
      <c r="M7" s="48">
        <f t="shared" si="11"/>
        <v>0</v>
      </c>
      <c r="N7" s="50">
        <f t="shared" si="13"/>
        <v>5706700</v>
      </c>
      <c r="O7" s="50">
        <f t="shared" si="14"/>
        <v>432696</v>
      </c>
      <c r="P7" s="50">
        <f t="shared" si="15"/>
        <v>81130.5</v>
      </c>
      <c r="Q7" s="50">
        <f t="shared" si="16"/>
        <v>54087</v>
      </c>
      <c r="R7" s="50">
        <f t="shared" si="12"/>
        <v>0</v>
      </c>
      <c r="S7" s="50">
        <f t="shared" si="17"/>
        <v>5138786.5</v>
      </c>
      <c r="U7" s="50">
        <f>S7-[1]TH_LUONG!$S$3</f>
        <v>-6180942.7000000011</v>
      </c>
    </row>
    <row r="8" spans="1:21" s="51" customFormat="1" ht="15" customHeight="1" x14ac:dyDescent="0.25">
      <c r="A8" s="46" t="s">
        <v>8</v>
      </c>
      <c r="B8" s="47" t="str">
        <f t="shared" si="0"/>
        <v>Nguyễn Thị Thanh</v>
      </c>
      <c r="C8" s="48">
        <f t="shared" si="1"/>
        <v>3.66</v>
      </c>
      <c r="D8" s="48">
        <f t="shared" si="2"/>
        <v>0</v>
      </c>
      <c r="E8" s="49">
        <f t="shared" si="3"/>
        <v>0</v>
      </c>
      <c r="F8" s="204">
        <f t="shared" si="4"/>
        <v>0.2</v>
      </c>
      <c r="G8" s="49">
        <f t="shared" si="5"/>
        <v>0</v>
      </c>
      <c r="H8" s="49">
        <f t="shared" si="6"/>
        <v>0</v>
      </c>
      <c r="I8" s="49">
        <f t="shared" si="7"/>
        <v>0</v>
      </c>
      <c r="J8" s="49">
        <f t="shared" si="8"/>
        <v>0.1</v>
      </c>
      <c r="K8" s="49">
        <f t="shared" si="9"/>
        <v>0</v>
      </c>
      <c r="L8" s="49">
        <f t="shared" si="10"/>
        <v>0</v>
      </c>
      <c r="M8" s="48">
        <f t="shared" si="11"/>
        <v>0</v>
      </c>
      <c r="N8" s="50">
        <f t="shared" si="13"/>
        <v>5900400.0000000009</v>
      </c>
      <c r="O8" s="50">
        <f t="shared" si="14"/>
        <v>436272</v>
      </c>
      <c r="P8" s="50">
        <f t="shared" si="15"/>
        <v>81801</v>
      </c>
      <c r="Q8" s="50">
        <f t="shared" si="16"/>
        <v>54534</v>
      </c>
      <c r="R8" s="50">
        <f t="shared" si="12"/>
        <v>0</v>
      </c>
      <c r="S8" s="50">
        <f t="shared" si="17"/>
        <v>5327793.0000000009</v>
      </c>
      <c r="U8" s="50">
        <f>S8-[1]TH_LUONG!$S$3</f>
        <v>-5991936.2000000002</v>
      </c>
    </row>
    <row r="9" spans="1:21" s="51" customFormat="1" ht="15" customHeight="1" x14ac:dyDescent="0.25">
      <c r="A9" s="46" t="s">
        <v>9</v>
      </c>
      <c r="B9" s="47" t="str">
        <f t="shared" si="0"/>
        <v>Nguyễn Long Điền</v>
      </c>
      <c r="C9" s="48">
        <f t="shared" si="1"/>
        <v>3.99</v>
      </c>
      <c r="D9" s="48">
        <f t="shared" si="2"/>
        <v>0.5</v>
      </c>
      <c r="E9" s="49">
        <f t="shared" si="3"/>
        <v>0</v>
      </c>
      <c r="F9" s="204">
        <f t="shared" si="4"/>
        <v>0.2</v>
      </c>
      <c r="G9" s="49">
        <f t="shared" si="5"/>
        <v>0</v>
      </c>
      <c r="H9" s="49">
        <f t="shared" si="6"/>
        <v>0</v>
      </c>
      <c r="I9" s="49">
        <f t="shared" si="7"/>
        <v>0</v>
      </c>
      <c r="J9" s="49">
        <f t="shared" si="8"/>
        <v>0</v>
      </c>
      <c r="K9" s="49">
        <f t="shared" si="9"/>
        <v>0</v>
      </c>
      <c r="L9" s="49">
        <f t="shared" si="10"/>
        <v>0</v>
      </c>
      <c r="M9" s="48">
        <f t="shared" si="11"/>
        <v>0</v>
      </c>
      <c r="N9" s="50">
        <f t="shared" si="13"/>
        <v>6988100.0000000009</v>
      </c>
      <c r="O9" s="50">
        <f t="shared" si="14"/>
        <v>535208</v>
      </c>
      <c r="P9" s="50">
        <f t="shared" si="15"/>
        <v>100351.5</v>
      </c>
      <c r="Q9" s="50">
        <f t="shared" si="16"/>
        <v>66901</v>
      </c>
      <c r="R9" s="50">
        <f t="shared" si="12"/>
        <v>0</v>
      </c>
      <c r="S9" s="50">
        <f t="shared" si="17"/>
        <v>6285639.5000000009</v>
      </c>
      <c r="U9" s="50">
        <f>S9-[1]TH_LUONG!$S$3</f>
        <v>-5034089.7</v>
      </c>
    </row>
    <row r="10" spans="1:21" s="51" customFormat="1" ht="15" customHeight="1" x14ac:dyDescent="0.25">
      <c r="A10" s="46" t="s">
        <v>10</v>
      </c>
      <c r="B10" s="47" t="str">
        <f t="shared" si="0"/>
        <v>Hồ Đắc Long</v>
      </c>
      <c r="C10" s="48">
        <f t="shared" si="1"/>
        <v>3.66</v>
      </c>
      <c r="D10" s="48">
        <f t="shared" si="2"/>
        <v>0.3</v>
      </c>
      <c r="E10" s="49">
        <f t="shared" si="3"/>
        <v>0</v>
      </c>
      <c r="F10" s="204">
        <f t="shared" si="4"/>
        <v>0.2</v>
      </c>
      <c r="G10" s="49">
        <f t="shared" si="5"/>
        <v>0</v>
      </c>
      <c r="H10" s="49">
        <f t="shared" si="6"/>
        <v>0</v>
      </c>
      <c r="I10" s="49">
        <f t="shared" si="7"/>
        <v>0</v>
      </c>
      <c r="J10" s="49">
        <f t="shared" si="8"/>
        <v>0</v>
      </c>
      <c r="K10" s="49">
        <f t="shared" si="9"/>
        <v>0</v>
      </c>
      <c r="L10" s="49">
        <f t="shared" si="10"/>
        <v>0</v>
      </c>
      <c r="M10" s="48">
        <f t="shared" si="11"/>
        <v>0</v>
      </c>
      <c r="N10" s="50">
        <f t="shared" si="13"/>
        <v>6198400</v>
      </c>
      <c r="O10" s="50">
        <f t="shared" si="14"/>
        <v>472032</v>
      </c>
      <c r="P10" s="50">
        <f t="shared" si="15"/>
        <v>88506</v>
      </c>
      <c r="Q10" s="50">
        <f t="shared" si="16"/>
        <v>59004</v>
      </c>
      <c r="R10" s="50">
        <f t="shared" si="12"/>
        <v>0</v>
      </c>
      <c r="S10" s="50">
        <f t="shared" si="17"/>
        <v>5578858</v>
      </c>
      <c r="U10" s="50">
        <f>S10-[1]TH_LUONG!$S$3</f>
        <v>-5740871.2000000011</v>
      </c>
    </row>
    <row r="11" spans="1:21" s="51" customFormat="1" ht="15" customHeight="1" x14ac:dyDescent="0.25">
      <c r="A11" s="46" t="s">
        <v>11</v>
      </c>
      <c r="B11" s="47" t="str">
        <f t="shared" si="0"/>
        <v>Hoàng Văn Hải</v>
      </c>
      <c r="C11" s="48">
        <f t="shared" si="1"/>
        <v>3.33</v>
      </c>
      <c r="D11" s="48">
        <f t="shared" si="2"/>
        <v>0</v>
      </c>
      <c r="E11" s="49">
        <f t="shared" si="3"/>
        <v>0</v>
      </c>
      <c r="F11" s="204">
        <f t="shared" si="4"/>
        <v>0.2</v>
      </c>
      <c r="G11" s="49">
        <f t="shared" si="5"/>
        <v>0</v>
      </c>
      <c r="H11" s="49">
        <f t="shared" si="6"/>
        <v>0</v>
      </c>
      <c r="I11" s="49">
        <f t="shared" si="7"/>
        <v>0</v>
      </c>
      <c r="J11" s="49">
        <f t="shared" si="8"/>
        <v>0</v>
      </c>
      <c r="K11" s="49">
        <f t="shared" si="9"/>
        <v>0</v>
      </c>
      <c r="L11" s="49">
        <f t="shared" si="10"/>
        <v>0</v>
      </c>
      <c r="M11" s="48">
        <f t="shared" si="11"/>
        <v>0</v>
      </c>
      <c r="N11" s="50">
        <f t="shared" si="13"/>
        <v>5259700</v>
      </c>
      <c r="O11" s="50">
        <f t="shared" si="14"/>
        <v>396936</v>
      </c>
      <c r="P11" s="50">
        <f t="shared" si="15"/>
        <v>74425.5</v>
      </c>
      <c r="Q11" s="50">
        <f t="shared" si="16"/>
        <v>49617</v>
      </c>
      <c r="R11" s="50">
        <f t="shared" si="12"/>
        <v>0</v>
      </c>
      <c r="S11" s="50">
        <f t="shared" si="17"/>
        <v>4738721.5</v>
      </c>
      <c r="U11" s="50">
        <f>S11-[1]TH_LUONG!$S$3</f>
        <v>-6581007.7000000011</v>
      </c>
    </row>
    <row r="12" spans="1:21" s="51" customFormat="1" ht="15" customHeight="1" x14ac:dyDescent="0.25">
      <c r="A12" s="46" t="s">
        <v>12</v>
      </c>
      <c r="B12" s="47" t="str">
        <f t="shared" si="0"/>
        <v>Nguyễn Thị Nhung</v>
      </c>
      <c r="C12" s="48">
        <f t="shared" si="1"/>
        <v>3</v>
      </c>
      <c r="D12" s="48">
        <f t="shared" si="2"/>
        <v>0</v>
      </c>
      <c r="E12" s="49">
        <f t="shared" si="3"/>
        <v>0</v>
      </c>
      <c r="F12" s="204">
        <f t="shared" si="4"/>
        <v>0.2</v>
      </c>
      <c r="G12" s="49">
        <f t="shared" si="5"/>
        <v>0</v>
      </c>
      <c r="H12" s="49">
        <f t="shared" si="6"/>
        <v>0</v>
      </c>
      <c r="I12" s="49">
        <f t="shared" si="7"/>
        <v>0</v>
      </c>
      <c r="J12" s="49">
        <f t="shared" si="8"/>
        <v>0</v>
      </c>
      <c r="K12" s="49">
        <f t="shared" si="9"/>
        <v>0</v>
      </c>
      <c r="L12" s="49">
        <f t="shared" si="10"/>
        <v>0</v>
      </c>
      <c r="M12" s="48">
        <f t="shared" si="11"/>
        <v>0</v>
      </c>
      <c r="N12" s="50">
        <f t="shared" si="13"/>
        <v>4768000</v>
      </c>
      <c r="O12" s="50">
        <f t="shared" si="14"/>
        <v>357600</v>
      </c>
      <c r="P12" s="50">
        <f t="shared" si="15"/>
        <v>67050</v>
      </c>
      <c r="Q12" s="50">
        <f t="shared" si="16"/>
        <v>44700</v>
      </c>
      <c r="R12" s="50">
        <f t="shared" si="12"/>
        <v>0</v>
      </c>
      <c r="S12" s="50">
        <f t="shared" si="17"/>
        <v>4298650</v>
      </c>
      <c r="U12" s="50">
        <f>S12-[1]TH_LUONG!$S$3</f>
        <v>-7021079.2000000011</v>
      </c>
    </row>
    <row r="13" spans="1:21" s="51" customFormat="1" ht="15" customHeight="1" x14ac:dyDescent="0.25">
      <c r="A13" s="46" t="s">
        <v>13</v>
      </c>
      <c r="B13" s="47" t="str">
        <f t="shared" si="0"/>
        <v>Tô Quang</v>
      </c>
      <c r="C13" s="48">
        <f t="shared" si="1"/>
        <v>3</v>
      </c>
      <c r="D13" s="48">
        <f t="shared" si="2"/>
        <v>0</v>
      </c>
      <c r="E13" s="49">
        <f t="shared" si="3"/>
        <v>0</v>
      </c>
      <c r="F13" s="204">
        <f t="shared" si="4"/>
        <v>0.2</v>
      </c>
      <c r="G13" s="49">
        <f t="shared" si="5"/>
        <v>0</v>
      </c>
      <c r="H13" s="49">
        <f t="shared" si="6"/>
        <v>0</v>
      </c>
      <c r="I13" s="49">
        <f t="shared" si="7"/>
        <v>0</v>
      </c>
      <c r="J13" s="49">
        <f t="shared" si="8"/>
        <v>0</v>
      </c>
      <c r="K13" s="49">
        <f t="shared" si="9"/>
        <v>0</v>
      </c>
      <c r="L13" s="49">
        <f t="shared" si="10"/>
        <v>0</v>
      </c>
      <c r="M13" s="48">
        <f t="shared" si="11"/>
        <v>0</v>
      </c>
      <c r="N13" s="50">
        <f t="shared" si="13"/>
        <v>4768000</v>
      </c>
      <c r="O13" s="50">
        <f t="shared" si="14"/>
        <v>357600</v>
      </c>
      <c r="P13" s="50">
        <f t="shared" si="15"/>
        <v>67050</v>
      </c>
      <c r="Q13" s="50">
        <f t="shared" si="16"/>
        <v>44700</v>
      </c>
      <c r="R13" s="50">
        <f t="shared" si="12"/>
        <v>0</v>
      </c>
      <c r="S13" s="50">
        <f t="shared" si="17"/>
        <v>4298650</v>
      </c>
      <c r="U13" s="50">
        <f>S13-[1]TH_LUONG!$S$3</f>
        <v>-7021079.2000000011</v>
      </c>
    </row>
    <row r="14" spans="1:21" s="51" customFormat="1" ht="15" customHeight="1" x14ac:dyDescent="0.25">
      <c r="A14" s="46" t="s">
        <v>14</v>
      </c>
      <c r="B14" s="47" t="str">
        <f t="shared" si="0"/>
        <v>Nguyễn Xuân Hiếu</v>
      </c>
      <c r="C14" s="48">
        <f t="shared" si="1"/>
        <v>3.66</v>
      </c>
      <c r="D14" s="48">
        <f t="shared" si="2"/>
        <v>0.3</v>
      </c>
      <c r="E14" s="49">
        <f t="shared" si="3"/>
        <v>0</v>
      </c>
      <c r="F14" s="204">
        <f t="shared" si="4"/>
        <v>0.2</v>
      </c>
      <c r="G14" s="49">
        <f t="shared" si="5"/>
        <v>0</v>
      </c>
      <c r="H14" s="49">
        <f t="shared" si="6"/>
        <v>0</v>
      </c>
      <c r="I14" s="49">
        <f t="shared" si="7"/>
        <v>0</v>
      </c>
      <c r="J14" s="49">
        <f t="shared" si="8"/>
        <v>0</v>
      </c>
      <c r="K14" s="49">
        <f t="shared" si="9"/>
        <v>0</v>
      </c>
      <c r="L14" s="49">
        <f t="shared" si="10"/>
        <v>0</v>
      </c>
      <c r="M14" s="48">
        <f t="shared" si="11"/>
        <v>0</v>
      </c>
      <c r="N14" s="50">
        <f>SUM(C14:M14)*luongcanban</f>
        <v>6198400</v>
      </c>
      <c r="O14" s="50">
        <f>(SUM(C14:E14)+G14)*luongcanban*bhxh_1</f>
        <v>472032</v>
      </c>
      <c r="P14" s="50">
        <f>(SUM(C14:E14)+G14)*luongcanban*bhyt_1</f>
        <v>88506</v>
      </c>
      <c r="Q14" s="50">
        <f>(SUM(C14:E14)+G14)*luongcanban*bhtn_1</f>
        <v>59004</v>
      </c>
      <c r="R14" s="50">
        <f t="shared" si="12"/>
        <v>0</v>
      </c>
      <c r="S14" s="50">
        <f>N14-O14-P14-Q14+R14</f>
        <v>5578858</v>
      </c>
      <c r="U14" s="50">
        <f>S14-[1]TH_LUONG!$S$3</f>
        <v>-5740871.2000000011</v>
      </c>
    </row>
    <row r="15" spans="1:21" s="51" customFormat="1" ht="15" customHeight="1" x14ac:dyDescent="0.25">
      <c r="A15" s="46" t="s">
        <v>32</v>
      </c>
      <c r="B15" s="47" t="str">
        <f t="shared" si="0"/>
        <v>Nguyễn Thị Hằng</v>
      </c>
      <c r="C15" s="48">
        <f t="shared" si="1"/>
        <v>3</v>
      </c>
      <c r="D15" s="48">
        <f t="shared" si="2"/>
        <v>0</v>
      </c>
      <c r="E15" s="49">
        <f t="shared" si="3"/>
        <v>0</v>
      </c>
      <c r="F15" s="204">
        <f t="shared" si="4"/>
        <v>0.2</v>
      </c>
      <c r="G15" s="49">
        <f t="shared" si="5"/>
        <v>0</v>
      </c>
      <c r="H15" s="49">
        <f t="shared" si="6"/>
        <v>0</v>
      </c>
      <c r="I15" s="49">
        <f t="shared" si="7"/>
        <v>0</v>
      </c>
      <c r="J15" s="49">
        <f t="shared" si="8"/>
        <v>0</v>
      </c>
      <c r="K15" s="49">
        <f t="shared" si="9"/>
        <v>0</v>
      </c>
      <c r="L15" s="49">
        <f t="shared" si="10"/>
        <v>0</v>
      </c>
      <c r="M15" s="48">
        <f t="shared" si="11"/>
        <v>0</v>
      </c>
      <c r="N15" s="50">
        <f>SUM(C15:M15)*luongcanban</f>
        <v>4768000</v>
      </c>
      <c r="O15" s="50">
        <f>(SUM(C15:E15)+G15)*luongcanban*bhxh_1</f>
        <v>357600</v>
      </c>
      <c r="P15" s="50">
        <f>(SUM(C15:E15)+G15)*luongcanban*bhyt_1</f>
        <v>67050</v>
      </c>
      <c r="Q15" s="50">
        <f>(SUM(C15:E15)+G15)*luongcanban*bhtn_1</f>
        <v>44700</v>
      </c>
      <c r="R15" s="50">
        <f t="shared" si="12"/>
        <v>0</v>
      </c>
      <c r="S15" s="50">
        <f>N15-O15-P15-Q15+R15</f>
        <v>4298650</v>
      </c>
      <c r="U15" s="50">
        <f>S15-[1]TH_LUONG!$S$3</f>
        <v>-7021079.2000000011</v>
      </c>
    </row>
    <row r="16" spans="1:21" s="94" customFormat="1" ht="15" customHeight="1" x14ac:dyDescent="0.25">
      <c r="A16" s="46" t="s">
        <v>34</v>
      </c>
      <c r="B16" s="95" t="str">
        <f t="shared" si="0"/>
        <v>Nguyễn Xuân Phát</v>
      </c>
      <c r="C16" s="96">
        <f t="shared" si="1"/>
        <v>4.9800000000000004</v>
      </c>
      <c r="D16" s="96">
        <f t="shared" si="2"/>
        <v>0.3</v>
      </c>
      <c r="E16" s="97">
        <f t="shared" si="3"/>
        <v>0</v>
      </c>
      <c r="F16" s="204">
        <f t="shared" si="4"/>
        <v>0.2</v>
      </c>
      <c r="G16" s="97">
        <f t="shared" si="5"/>
        <v>1.2672000000000001</v>
      </c>
      <c r="H16" s="49">
        <f t="shared" si="6"/>
        <v>0</v>
      </c>
      <c r="I16" s="49">
        <f t="shared" si="7"/>
        <v>1.056</v>
      </c>
      <c r="J16" s="49">
        <f t="shared" si="8"/>
        <v>0</v>
      </c>
      <c r="K16" s="49">
        <f t="shared" si="9"/>
        <v>0</v>
      </c>
      <c r="L16" s="49">
        <f t="shared" si="10"/>
        <v>0</v>
      </c>
      <c r="M16" s="48">
        <f t="shared" si="11"/>
        <v>0</v>
      </c>
      <c r="N16" s="98">
        <f t="shared" si="13"/>
        <v>11626768</v>
      </c>
      <c r="O16" s="98">
        <f t="shared" si="14"/>
        <v>780426.23999999999</v>
      </c>
      <c r="P16" s="98">
        <f t="shared" si="15"/>
        <v>146329.91999999998</v>
      </c>
      <c r="Q16" s="98">
        <f t="shared" si="16"/>
        <v>97553.279999999999</v>
      </c>
      <c r="R16" s="98">
        <f t="shared" si="12"/>
        <v>0</v>
      </c>
      <c r="S16" s="98">
        <f t="shared" si="17"/>
        <v>10602458.560000001</v>
      </c>
      <c r="T16" s="51"/>
      <c r="U16" s="50">
        <f>S16-[1]TH_LUONG!$S$3</f>
        <v>-717270.6400000006</v>
      </c>
    </row>
    <row r="17" spans="1:22" s="94" customFormat="1" ht="15" customHeight="1" x14ac:dyDescent="0.25">
      <c r="A17" s="46" t="s">
        <v>35</v>
      </c>
      <c r="B17" s="95" t="str">
        <f t="shared" si="0"/>
        <v>Lê Thanh Trị</v>
      </c>
      <c r="C17" s="96">
        <f t="shared" si="1"/>
        <v>4.0599999999999996</v>
      </c>
      <c r="D17" s="96">
        <f t="shared" si="2"/>
        <v>0</v>
      </c>
      <c r="E17" s="97">
        <f t="shared" si="3"/>
        <v>0</v>
      </c>
      <c r="F17" s="204">
        <f t="shared" si="4"/>
        <v>0.2</v>
      </c>
      <c r="G17" s="97">
        <f t="shared" si="5"/>
        <v>0.97439999999999982</v>
      </c>
      <c r="H17" s="49">
        <f t="shared" si="6"/>
        <v>0</v>
      </c>
      <c r="I17" s="49">
        <f t="shared" si="7"/>
        <v>0.81199999999999994</v>
      </c>
      <c r="J17" s="49">
        <f t="shared" si="8"/>
        <v>0</v>
      </c>
      <c r="K17" s="49">
        <f t="shared" si="9"/>
        <v>0</v>
      </c>
      <c r="L17" s="49">
        <f t="shared" si="10"/>
        <v>0</v>
      </c>
      <c r="M17" s="48">
        <f t="shared" si="11"/>
        <v>0</v>
      </c>
      <c r="N17" s="98">
        <f t="shared" si="13"/>
        <v>9009136</v>
      </c>
      <c r="O17" s="98">
        <f t="shared" si="14"/>
        <v>600100.48</v>
      </c>
      <c r="P17" s="98">
        <f t="shared" si="15"/>
        <v>112518.84</v>
      </c>
      <c r="Q17" s="98">
        <f t="shared" si="16"/>
        <v>75012.56</v>
      </c>
      <c r="R17" s="98">
        <f t="shared" si="12"/>
        <v>0</v>
      </c>
      <c r="S17" s="98">
        <f t="shared" si="17"/>
        <v>8221504.1200000001</v>
      </c>
      <c r="T17" s="51"/>
      <c r="U17" s="50">
        <f>S17-[1]TH_LUONG!$S$3</f>
        <v>-3098225.080000001</v>
      </c>
    </row>
    <row r="18" spans="1:22" s="51" customFormat="1" ht="15" customHeight="1" x14ac:dyDescent="0.25">
      <c r="A18" s="46" t="s">
        <v>36</v>
      </c>
      <c r="B18" s="47" t="str">
        <f t="shared" si="0"/>
        <v>Trần Văn Lực</v>
      </c>
      <c r="C18" s="48">
        <f t="shared" si="1"/>
        <v>3.26</v>
      </c>
      <c r="D18" s="48">
        <f t="shared" si="2"/>
        <v>0</v>
      </c>
      <c r="E18" s="49">
        <f t="shared" si="3"/>
        <v>0</v>
      </c>
      <c r="F18" s="204">
        <f t="shared" si="4"/>
        <v>0.2</v>
      </c>
      <c r="G18" s="49">
        <f t="shared" si="5"/>
        <v>0.52159999999999995</v>
      </c>
      <c r="H18" s="49">
        <f t="shared" si="6"/>
        <v>0.2</v>
      </c>
      <c r="I18" s="49">
        <f t="shared" si="7"/>
        <v>1.304</v>
      </c>
      <c r="J18" s="49">
        <f t="shared" si="8"/>
        <v>0</v>
      </c>
      <c r="K18" s="49">
        <f t="shared" si="9"/>
        <v>0</v>
      </c>
      <c r="L18" s="49">
        <f t="shared" si="10"/>
        <v>0</v>
      </c>
      <c r="M18" s="48">
        <f t="shared" si="11"/>
        <v>0</v>
      </c>
      <c r="N18" s="50">
        <f t="shared" si="13"/>
        <v>8173544</v>
      </c>
      <c r="O18" s="50">
        <f t="shared" si="14"/>
        <v>450766.71999999991</v>
      </c>
      <c r="P18" s="50">
        <f t="shared" si="15"/>
        <v>84518.75999999998</v>
      </c>
      <c r="Q18" s="50">
        <f t="shared" si="16"/>
        <v>56345.839999999989</v>
      </c>
      <c r="R18" s="50">
        <f t="shared" si="12"/>
        <v>0</v>
      </c>
      <c r="S18" s="50">
        <f t="shared" si="17"/>
        <v>7581912.6800000006</v>
      </c>
      <c r="U18" s="50">
        <f>S18-[1]TH_LUONG!$S$3</f>
        <v>-3737816.5200000005</v>
      </c>
    </row>
    <row r="19" spans="1:22" s="51" customFormat="1" ht="15" customHeight="1" x14ac:dyDescent="0.25">
      <c r="A19" s="46" t="s">
        <v>37</v>
      </c>
      <c r="B19" s="47" t="str">
        <f t="shared" si="0"/>
        <v>Phạm Kim Long</v>
      </c>
      <c r="C19" s="48">
        <f t="shared" si="1"/>
        <v>3.66</v>
      </c>
      <c r="D19" s="48">
        <f t="shared" si="2"/>
        <v>0</v>
      </c>
      <c r="E19" s="49">
        <f t="shared" si="3"/>
        <v>0</v>
      </c>
      <c r="F19" s="204">
        <f t="shared" si="4"/>
        <v>0.2</v>
      </c>
      <c r="G19" s="49">
        <f t="shared" si="5"/>
        <v>0.58560000000000001</v>
      </c>
      <c r="H19" s="49">
        <f t="shared" si="6"/>
        <v>0</v>
      </c>
      <c r="I19" s="49">
        <f t="shared" si="7"/>
        <v>0.7320000000000001</v>
      </c>
      <c r="J19" s="49">
        <f t="shared" si="8"/>
        <v>0</v>
      </c>
      <c r="K19" s="49">
        <f t="shared" si="9"/>
        <v>0</v>
      </c>
      <c r="L19" s="49">
        <f t="shared" si="10"/>
        <v>0</v>
      </c>
      <c r="M19" s="48">
        <f t="shared" si="11"/>
        <v>0</v>
      </c>
      <c r="N19" s="50">
        <f t="shared" si="13"/>
        <v>7714624.0000000009</v>
      </c>
      <c r="O19" s="50">
        <f t="shared" si="14"/>
        <v>506075.52000000008</v>
      </c>
      <c r="P19" s="50">
        <f t="shared" si="15"/>
        <v>94889.16</v>
      </c>
      <c r="Q19" s="50">
        <f t="shared" si="16"/>
        <v>63259.44000000001</v>
      </c>
      <c r="R19" s="50">
        <f t="shared" si="12"/>
        <v>0</v>
      </c>
      <c r="S19" s="50">
        <f t="shared" si="17"/>
        <v>7050399.8799999999</v>
      </c>
      <c r="U19" s="50">
        <f>S19-[1]TH_LUONG!$S$3</f>
        <v>-4269329.3200000012</v>
      </c>
    </row>
    <row r="20" spans="1:22" s="51" customFormat="1" ht="15" customHeight="1" x14ac:dyDescent="0.25">
      <c r="A20" s="46" t="s">
        <v>38</v>
      </c>
      <c r="B20" s="47" t="str">
        <f t="shared" si="0"/>
        <v>Nguyễn Văn Bình</v>
      </c>
      <c r="C20" s="48">
        <f t="shared" si="1"/>
        <v>2.66</v>
      </c>
      <c r="D20" s="48">
        <f t="shared" si="2"/>
        <v>0</v>
      </c>
      <c r="E20" s="49">
        <f t="shared" si="3"/>
        <v>0</v>
      </c>
      <c r="F20" s="204">
        <f t="shared" si="4"/>
        <v>0.2</v>
      </c>
      <c r="G20" s="49">
        <f t="shared" si="5"/>
        <v>0.21280000000000002</v>
      </c>
      <c r="H20" s="49">
        <f t="shared" si="6"/>
        <v>0.2</v>
      </c>
      <c r="I20" s="49">
        <f t="shared" si="7"/>
        <v>0.53200000000000003</v>
      </c>
      <c r="J20" s="49">
        <f t="shared" si="8"/>
        <v>0</v>
      </c>
      <c r="K20" s="49">
        <f t="shared" si="9"/>
        <v>0</v>
      </c>
      <c r="L20" s="49">
        <f t="shared" si="10"/>
        <v>0</v>
      </c>
      <c r="M20" s="48">
        <f t="shared" si="11"/>
        <v>0</v>
      </c>
      <c r="N20" s="50">
        <f t="shared" si="13"/>
        <v>5669152.0000000009</v>
      </c>
      <c r="O20" s="50">
        <f t="shared" si="14"/>
        <v>342437.76</v>
      </c>
      <c r="P20" s="50">
        <f t="shared" si="15"/>
        <v>64207.079999999994</v>
      </c>
      <c r="Q20" s="50">
        <f t="shared" si="16"/>
        <v>42804.72</v>
      </c>
      <c r="R20" s="50">
        <f t="shared" si="12"/>
        <v>0</v>
      </c>
      <c r="S20" s="50">
        <f t="shared" si="17"/>
        <v>5219702.4400000013</v>
      </c>
      <c r="U20" s="50">
        <f>S20-[1]TH_LUONG!$S$3</f>
        <v>-6100026.7599999998</v>
      </c>
    </row>
    <row r="21" spans="1:22" s="51" customFormat="1" ht="15" customHeight="1" x14ac:dyDescent="0.25">
      <c r="A21" s="46" t="s">
        <v>40</v>
      </c>
      <c r="B21" s="47" t="str">
        <f t="shared" si="0"/>
        <v>Nguyễn Đức Toàn</v>
      </c>
      <c r="C21" s="48">
        <f t="shared" si="1"/>
        <v>2.66</v>
      </c>
      <c r="D21" s="48">
        <f t="shared" si="2"/>
        <v>0</v>
      </c>
      <c r="E21" s="49">
        <f t="shared" si="3"/>
        <v>0</v>
      </c>
      <c r="F21" s="204">
        <f t="shared" si="4"/>
        <v>0.2</v>
      </c>
      <c r="G21" s="49">
        <f t="shared" si="5"/>
        <v>0</v>
      </c>
      <c r="H21" s="49">
        <f t="shared" si="6"/>
        <v>0</v>
      </c>
      <c r="I21" s="49">
        <f t="shared" si="7"/>
        <v>0.53200000000000003</v>
      </c>
      <c r="J21" s="49">
        <f t="shared" si="8"/>
        <v>0</v>
      </c>
      <c r="K21" s="49">
        <f t="shared" si="9"/>
        <v>0</v>
      </c>
      <c r="L21" s="49">
        <f t="shared" si="10"/>
        <v>0</v>
      </c>
      <c r="M21" s="48">
        <f t="shared" si="11"/>
        <v>0</v>
      </c>
      <c r="N21" s="50">
        <f t="shared" si="13"/>
        <v>5054080.0000000009</v>
      </c>
      <c r="O21" s="50">
        <f t="shared" si="14"/>
        <v>317072</v>
      </c>
      <c r="P21" s="50">
        <f t="shared" si="15"/>
        <v>59451</v>
      </c>
      <c r="Q21" s="50">
        <f t="shared" si="16"/>
        <v>39634</v>
      </c>
      <c r="R21" s="50">
        <f t="shared" si="12"/>
        <v>0</v>
      </c>
      <c r="S21" s="50">
        <f t="shared" si="17"/>
        <v>4637923.0000000009</v>
      </c>
      <c r="U21" s="50">
        <f>S21-[1]TH_LUONG!$S$3</f>
        <v>-6681806.2000000002</v>
      </c>
    </row>
    <row r="22" spans="1:22" s="51" customFormat="1" ht="15" customHeight="1" x14ac:dyDescent="0.25">
      <c r="A22" s="46" t="s">
        <v>41</v>
      </c>
      <c r="B22" s="47" t="str">
        <f t="shared" si="0"/>
        <v>Bùi Đông Phú</v>
      </c>
      <c r="C22" s="48">
        <f t="shared" si="1"/>
        <v>2.66</v>
      </c>
      <c r="D22" s="48">
        <f t="shared" si="2"/>
        <v>0</v>
      </c>
      <c r="E22" s="49">
        <f t="shared" si="3"/>
        <v>0</v>
      </c>
      <c r="F22" s="204">
        <f t="shared" si="4"/>
        <v>0.2</v>
      </c>
      <c r="G22" s="49">
        <f t="shared" si="5"/>
        <v>0</v>
      </c>
      <c r="H22" s="49">
        <f t="shared" si="6"/>
        <v>0</v>
      </c>
      <c r="I22" s="49">
        <f t="shared" si="7"/>
        <v>0.53200000000000003</v>
      </c>
      <c r="J22" s="49">
        <f t="shared" si="8"/>
        <v>0</v>
      </c>
      <c r="K22" s="49">
        <f t="shared" si="9"/>
        <v>0</v>
      </c>
      <c r="L22" s="49">
        <f t="shared" si="10"/>
        <v>0</v>
      </c>
      <c r="M22" s="48">
        <f t="shared" si="11"/>
        <v>0</v>
      </c>
      <c r="N22" s="50">
        <f t="shared" si="13"/>
        <v>5054080.0000000009</v>
      </c>
      <c r="O22" s="50">
        <f t="shared" si="14"/>
        <v>317072</v>
      </c>
      <c r="P22" s="50">
        <f t="shared" si="15"/>
        <v>59451</v>
      </c>
      <c r="Q22" s="50">
        <f t="shared" si="16"/>
        <v>39634</v>
      </c>
      <c r="R22" s="50">
        <f t="shared" si="12"/>
        <v>0</v>
      </c>
      <c r="S22" s="50">
        <f t="shared" si="17"/>
        <v>4637923.0000000009</v>
      </c>
      <c r="U22" s="50">
        <f>S22-[1]TH_LUONG!$S$3</f>
        <v>-6681806.2000000002</v>
      </c>
    </row>
    <row r="23" spans="1:22" s="51" customFormat="1" ht="15" customHeight="1" x14ac:dyDescent="0.25">
      <c r="A23" s="46" t="s">
        <v>42</v>
      </c>
      <c r="B23" s="47" t="str">
        <f t="shared" si="0"/>
        <v>Mai Duy Tuân</v>
      </c>
      <c r="C23" s="48">
        <f t="shared" si="1"/>
        <v>2.46</v>
      </c>
      <c r="D23" s="48">
        <f t="shared" si="2"/>
        <v>0</v>
      </c>
      <c r="E23" s="49">
        <f t="shared" si="3"/>
        <v>0</v>
      </c>
      <c r="F23" s="204">
        <f t="shared" si="4"/>
        <v>0.2</v>
      </c>
      <c r="G23" s="49">
        <f t="shared" si="5"/>
        <v>0</v>
      </c>
      <c r="H23" s="49">
        <f t="shared" si="6"/>
        <v>0</v>
      </c>
      <c r="I23" s="49">
        <f t="shared" si="7"/>
        <v>0.49199999999999999</v>
      </c>
      <c r="J23" s="49">
        <f t="shared" ref="J23:J44" si="18">VLOOKUP(manhanvien,nhanvien,26,FALSE)</f>
        <v>0</v>
      </c>
      <c r="K23" s="49">
        <f t="shared" si="9"/>
        <v>0</v>
      </c>
      <c r="L23" s="49">
        <f t="shared" si="10"/>
        <v>0</v>
      </c>
      <c r="M23" s="48">
        <f t="shared" si="11"/>
        <v>0</v>
      </c>
      <c r="N23" s="50">
        <f t="shared" si="13"/>
        <v>4696480</v>
      </c>
      <c r="O23" s="50">
        <f t="shared" si="14"/>
        <v>293232</v>
      </c>
      <c r="P23" s="50">
        <f t="shared" si="15"/>
        <v>54981</v>
      </c>
      <c r="Q23" s="50">
        <f t="shared" si="16"/>
        <v>36654</v>
      </c>
      <c r="R23" s="50">
        <f t="shared" si="12"/>
        <v>0</v>
      </c>
      <c r="S23" s="50">
        <f t="shared" si="17"/>
        <v>4311613</v>
      </c>
      <c r="U23" s="50">
        <f>S23-[1]TH_LUONG!$S$3</f>
        <v>-7008116.2000000011</v>
      </c>
    </row>
    <row r="24" spans="1:22" s="51" customFormat="1" ht="15" customHeight="1" x14ac:dyDescent="0.25">
      <c r="A24" s="46" t="s">
        <v>43</v>
      </c>
      <c r="B24" s="47" t="str">
        <f t="shared" si="0"/>
        <v>Lê Văn Nam</v>
      </c>
      <c r="C24" s="48">
        <f t="shared" si="1"/>
        <v>2.67</v>
      </c>
      <c r="D24" s="48">
        <f t="shared" si="2"/>
        <v>0</v>
      </c>
      <c r="E24" s="49">
        <f t="shared" si="3"/>
        <v>0</v>
      </c>
      <c r="F24" s="204">
        <f t="shared" si="4"/>
        <v>0.2</v>
      </c>
      <c r="G24" s="49">
        <f t="shared" si="5"/>
        <v>0</v>
      </c>
      <c r="H24" s="49">
        <f t="shared" si="6"/>
        <v>0</v>
      </c>
      <c r="I24" s="49">
        <f t="shared" si="7"/>
        <v>0.53400000000000003</v>
      </c>
      <c r="J24" s="49">
        <f t="shared" si="18"/>
        <v>0</v>
      </c>
      <c r="K24" s="49">
        <f t="shared" si="9"/>
        <v>0</v>
      </c>
      <c r="L24" s="49">
        <f t="shared" si="10"/>
        <v>0</v>
      </c>
      <c r="M24" s="48">
        <f t="shared" si="11"/>
        <v>0</v>
      </c>
      <c r="N24" s="50">
        <f t="shared" si="13"/>
        <v>5071960</v>
      </c>
      <c r="O24" s="50">
        <f t="shared" si="14"/>
        <v>318264</v>
      </c>
      <c r="P24" s="50">
        <f t="shared" si="15"/>
        <v>59674.5</v>
      </c>
      <c r="Q24" s="50">
        <f t="shared" si="16"/>
        <v>39783</v>
      </c>
      <c r="R24" s="50">
        <f t="shared" si="12"/>
        <v>0</v>
      </c>
      <c r="S24" s="50">
        <f t="shared" si="17"/>
        <v>4654238.5</v>
      </c>
      <c r="U24" s="50">
        <f>S24-[1]TH_LUONG!$S$3</f>
        <v>-6665490.7000000011</v>
      </c>
    </row>
    <row r="25" spans="1:22" s="51" customFormat="1" ht="15" customHeight="1" x14ac:dyDescent="0.25">
      <c r="A25" s="46" t="s">
        <v>44</v>
      </c>
      <c r="B25" s="47" t="str">
        <f t="shared" si="0"/>
        <v>Nguyễn Thành Sơn</v>
      </c>
      <c r="C25" s="48">
        <f t="shared" si="1"/>
        <v>2.86</v>
      </c>
      <c r="D25" s="48">
        <f t="shared" si="2"/>
        <v>0</v>
      </c>
      <c r="E25" s="49">
        <f t="shared" si="3"/>
        <v>0</v>
      </c>
      <c r="F25" s="204">
        <f t="shared" si="4"/>
        <v>0.2</v>
      </c>
      <c r="G25" s="49">
        <f t="shared" si="5"/>
        <v>0</v>
      </c>
      <c r="H25" s="49">
        <f t="shared" si="6"/>
        <v>0</v>
      </c>
      <c r="I25" s="49">
        <f t="shared" si="7"/>
        <v>0</v>
      </c>
      <c r="J25" s="49">
        <f t="shared" si="18"/>
        <v>0</v>
      </c>
      <c r="K25" s="49">
        <f t="shared" si="9"/>
        <v>0</v>
      </c>
      <c r="L25" s="49">
        <f t="shared" si="10"/>
        <v>0</v>
      </c>
      <c r="M25" s="48">
        <f t="shared" si="11"/>
        <v>0</v>
      </c>
      <c r="N25" s="50">
        <f>SUM(C25:M25)*luongcanban</f>
        <v>4559400</v>
      </c>
      <c r="O25" s="50">
        <f>(SUM(C25:E25)+G25)*luongcanban*bhxh_1</f>
        <v>340912</v>
      </c>
      <c r="P25" s="50">
        <f>(SUM(C25:E25)+G25)*luongcanban*bhyt_1</f>
        <v>63921</v>
      </c>
      <c r="Q25" s="50">
        <f>(SUM(C25:E25)+G25)*luongcanban*bhtn_1</f>
        <v>42614</v>
      </c>
      <c r="R25" s="50">
        <f t="shared" si="12"/>
        <v>0</v>
      </c>
      <c r="S25" s="50">
        <f>N25-O25-P25-Q25+R25</f>
        <v>4111953</v>
      </c>
      <c r="U25" s="50">
        <f>S25-[1]TH_LUONG!$S$3</f>
        <v>-7207776.2000000011</v>
      </c>
    </row>
    <row r="26" spans="1:22" s="51" customFormat="1" ht="15" customHeight="1" x14ac:dyDescent="0.25">
      <c r="A26" s="46" t="s">
        <v>45</v>
      </c>
      <c r="B26" s="47" t="str">
        <f t="shared" si="0"/>
        <v>Phạm Xuân Thành</v>
      </c>
      <c r="C26" s="48">
        <f t="shared" si="1"/>
        <v>3.66</v>
      </c>
      <c r="D26" s="48">
        <f t="shared" si="2"/>
        <v>0.5</v>
      </c>
      <c r="E26" s="49">
        <f t="shared" si="3"/>
        <v>0</v>
      </c>
      <c r="F26" s="204">
        <f t="shared" si="4"/>
        <v>0.2</v>
      </c>
      <c r="G26" s="49">
        <f t="shared" si="5"/>
        <v>0</v>
      </c>
      <c r="H26" s="49">
        <f t="shared" si="6"/>
        <v>0</v>
      </c>
      <c r="I26" s="49">
        <f t="shared" si="7"/>
        <v>0</v>
      </c>
      <c r="J26" s="49">
        <f t="shared" si="18"/>
        <v>0</v>
      </c>
      <c r="K26" s="49">
        <f t="shared" si="9"/>
        <v>0</v>
      </c>
      <c r="L26" s="49">
        <f t="shared" si="10"/>
        <v>0</v>
      </c>
      <c r="M26" s="48">
        <f t="shared" si="11"/>
        <v>0</v>
      </c>
      <c r="N26" s="50">
        <f t="shared" si="13"/>
        <v>6496400.0000000009</v>
      </c>
      <c r="O26" s="50">
        <f t="shared" si="14"/>
        <v>495872</v>
      </c>
      <c r="P26" s="50">
        <f t="shared" si="15"/>
        <v>92976</v>
      </c>
      <c r="Q26" s="50">
        <f t="shared" si="16"/>
        <v>61984</v>
      </c>
      <c r="R26" s="50">
        <f t="shared" si="12"/>
        <v>0</v>
      </c>
      <c r="S26" s="50">
        <f t="shared" si="17"/>
        <v>5845568.0000000009</v>
      </c>
      <c r="U26" s="50">
        <f>S26-[1]TH_LUONG!$S$3</f>
        <v>-5474161.2000000002</v>
      </c>
      <c r="V26" s="85"/>
    </row>
    <row r="27" spans="1:22" s="51" customFormat="1" ht="15" customHeight="1" x14ac:dyDescent="0.25">
      <c r="A27" s="46" t="s">
        <v>46</v>
      </c>
      <c r="B27" s="47" t="str">
        <f t="shared" si="0"/>
        <v>Nguyễn Thị Tuyết Mai</v>
      </c>
      <c r="C27" s="48">
        <f>VLOOKUP(manhanvien,nhanvien,5,FALSE)</f>
        <v>3.33</v>
      </c>
      <c r="D27" s="48">
        <f t="shared" si="2"/>
        <v>0.3</v>
      </c>
      <c r="E27" s="49">
        <f t="shared" si="3"/>
        <v>0</v>
      </c>
      <c r="F27" s="204">
        <f t="shared" si="4"/>
        <v>0.2</v>
      </c>
      <c r="G27" s="49">
        <f t="shared" si="5"/>
        <v>0</v>
      </c>
      <c r="H27" s="49">
        <f t="shared" si="6"/>
        <v>0</v>
      </c>
      <c r="I27" s="49">
        <f t="shared" si="7"/>
        <v>0</v>
      </c>
      <c r="J27" s="49">
        <f t="shared" si="18"/>
        <v>0</v>
      </c>
      <c r="K27" s="49">
        <f t="shared" si="9"/>
        <v>0</v>
      </c>
      <c r="L27" s="49">
        <f t="shared" si="10"/>
        <v>0</v>
      </c>
      <c r="M27" s="48">
        <f t="shared" si="11"/>
        <v>0</v>
      </c>
      <c r="N27" s="50">
        <f>SUM(C27:M27)*luongcanban</f>
        <v>5706700</v>
      </c>
      <c r="O27" s="50">
        <f>(SUM(C27:E27)+G27)*luongcanban*bhxh_1</f>
        <v>432696</v>
      </c>
      <c r="P27" s="50">
        <f>(SUM(C27:E27)+G27)*luongcanban*bhyt_1</f>
        <v>81130.5</v>
      </c>
      <c r="Q27" s="50">
        <f>(SUM(C27:E27)+G27)*luongcanban*bhtn_1</f>
        <v>54087</v>
      </c>
      <c r="R27" s="50">
        <f t="shared" si="12"/>
        <v>0</v>
      </c>
      <c r="S27" s="50">
        <f>N27-O27-P27-Q27+R27</f>
        <v>5138786.5</v>
      </c>
      <c r="U27" s="50">
        <f>S27-[1]TH_LUONG!$S$3</f>
        <v>-6180942.7000000011</v>
      </c>
      <c r="V27" s="85"/>
    </row>
    <row r="28" spans="1:22" s="51" customFormat="1" ht="15" customHeight="1" x14ac:dyDescent="0.25">
      <c r="A28" s="46" t="s">
        <v>47</v>
      </c>
      <c r="B28" s="47" t="str">
        <f t="shared" si="0"/>
        <v>Nguyễn Thị Cẩm Tú</v>
      </c>
      <c r="C28" s="48">
        <f t="shared" si="1"/>
        <v>2.86</v>
      </c>
      <c r="D28" s="48">
        <f t="shared" si="2"/>
        <v>0</v>
      </c>
      <c r="E28" s="49">
        <f t="shared" si="3"/>
        <v>0</v>
      </c>
      <c r="F28" s="204">
        <f t="shared" si="4"/>
        <v>0.2</v>
      </c>
      <c r="G28" s="49">
        <f t="shared" si="5"/>
        <v>0</v>
      </c>
      <c r="H28" s="49">
        <f t="shared" si="6"/>
        <v>0</v>
      </c>
      <c r="I28" s="49">
        <f t="shared" si="7"/>
        <v>0</v>
      </c>
      <c r="J28" s="49">
        <f t="shared" si="18"/>
        <v>0.1</v>
      </c>
      <c r="K28" s="49">
        <f t="shared" si="9"/>
        <v>0</v>
      </c>
      <c r="L28" s="49">
        <f t="shared" si="10"/>
        <v>0</v>
      </c>
      <c r="M28" s="48">
        <f t="shared" si="11"/>
        <v>0</v>
      </c>
      <c r="N28" s="50">
        <f>SUM(C28:M28)*luongcanban</f>
        <v>4708400</v>
      </c>
      <c r="O28" s="50">
        <f>(SUM(C28:E28)+G28)*luongcanban*bhxh_1</f>
        <v>340912</v>
      </c>
      <c r="P28" s="50">
        <f>(SUM(C28:E28)+G28)*luongcanban*bhyt_1</f>
        <v>63921</v>
      </c>
      <c r="Q28" s="50">
        <f>(SUM(C28:E28)+G28)*luongcanban*bhtn_1</f>
        <v>42614</v>
      </c>
      <c r="R28" s="50">
        <f t="shared" si="12"/>
        <v>0</v>
      </c>
      <c r="S28" s="50">
        <f>N28-O28-P28-Q28+R28</f>
        <v>4260953</v>
      </c>
      <c r="U28" s="50">
        <f>S28-[1]TH_LUONG!$S$3</f>
        <v>-7058776.2000000011</v>
      </c>
      <c r="V28" s="85"/>
    </row>
    <row r="29" spans="1:22" s="51" customFormat="1" ht="15" customHeight="1" x14ac:dyDescent="0.25">
      <c r="A29" s="46" t="s">
        <v>48</v>
      </c>
      <c r="B29" s="47" t="str">
        <f t="shared" si="0"/>
        <v>Bùi Thị Oanh</v>
      </c>
      <c r="C29" s="48">
        <f t="shared" si="1"/>
        <v>2.41</v>
      </c>
      <c r="D29" s="48">
        <f t="shared" si="2"/>
        <v>0</v>
      </c>
      <c r="E29" s="49">
        <f t="shared" si="3"/>
        <v>0</v>
      </c>
      <c r="F29" s="204">
        <f t="shared" si="4"/>
        <v>0.2</v>
      </c>
      <c r="G29" s="49">
        <f t="shared" si="5"/>
        <v>0</v>
      </c>
      <c r="H29" s="49">
        <f t="shared" si="6"/>
        <v>0</v>
      </c>
      <c r="I29" s="49">
        <f t="shared" si="7"/>
        <v>0</v>
      </c>
      <c r="J29" s="49">
        <f t="shared" si="18"/>
        <v>0.1</v>
      </c>
      <c r="K29" s="49">
        <f t="shared" si="9"/>
        <v>0</v>
      </c>
      <c r="L29" s="49">
        <f t="shared" si="10"/>
        <v>0</v>
      </c>
      <c r="M29" s="48">
        <f t="shared" si="11"/>
        <v>0</v>
      </c>
      <c r="N29" s="50">
        <f>SUM(C29:M29)*luongcanban</f>
        <v>4037900.0000000005</v>
      </c>
      <c r="O29" s="50">
        <f>(SUM(C29:E29)+G29)*luongcanban*bhxh_1</f>
        <v>287272</v>
      </c>
      <c r="P29" s="50">
        <f>(SUM(C29:E29)+G29)*luongcanban*bhyt_1</f>
        <v>53863.5</v>
      </c>
      <c r="Q29" s="50">
        <f>(SUM(C29:E29)+G29)*luongcanban*bhtn_1</f>
        <v>35909</v>
      </c>
      <c r="R29" s="50">
        <f t="shared" si="12"/>
        <v>0</v>
      </c>
      <c r="S29" s="50">
        <f>N29-O29-P29-Q29+R29</f>
        <v>3660855.5000000005</v>
      </c>
      <c r="T29" s="99">
        <f>SUM(S2:S29)</f>
        <v>160960571.21000001</v>
      </c>
      <c r="U29" s="50">
        <f>S29-[1]TH_LUONG!$S$3</f>
        <v>-7658873.7000000011</v>
      </c>
    </row>
    <row r="30" spans="1:22" s="51" customFormat="1" ht="15" customHeight="1" x14ac:dyDescent="0.25">
      <c r="A30" s="46" t="s">
        <v>106</v>
      </c>
      <c r="B30" s="47" t="str">
        <f t="shared" si="0"/>
        <v>Trần Thị Bạch Minh</v>
      </c>
      <c r="C30" s="48">
        <f t="shared" si="1"/>
        <v>3.33</v>
      </c>
      <c r="D30" s="48">
        <f t="shared" si="2"/>
        <v>0</v>
      </c>
      <c r="E30" s="49">
        <f t="shared" si="3"/>
        <v>0</v>
      </c>
      <c r="F30" s="204">
        <f t="shared" si="4"/>
        <v>0.2</v>
      </c>
      <c r="G30" s="49">
        <f t="shared" si="5"/>
        <v>0</v>
      </c>
      <c r="H30" s="49">
        <f t="shared" si="6"/>
        <v>0</v>
      </c>
      <c r="I30" s="49">
        <f t="shared" si="7"/>
        <v>0</v>
      </c>
      <c r="J30" s="49">
        <f t="shared" si="18"/>
        <v>0</v>
      </c>
      <c r="K30" s="49">
        <f t="shared" si="9"/>
        <v>0</v>
      </c>
      <c r="L30" s="49">
        <f t="shared" si="10"/>
        <v>0</v>
      </c>
      <c r="M30" s="48">
        <f t="shared" si="11"/>
        <v>0</v>
      </c>
      <c r="N30" s="50">
        <f t="shared" si="13"/>
        <v>5259700</v>
      </c>
      <c r="O30" s="50">
        <f t="shared" si="14"/>
        <v>396936</v>
      </c>
      <c r="P30" s="50">
        <f t="shared" si="15"/>
        <v>74425.5</v>
      </c>
      <c r="Q30" s="50">
        <f t="shared" si="16"/>
        <v>49617</v>
      </c>
      <c r="R30" s="50">
        <f t="shared" si="12"/>
        <v>0</v>
      </c>
      <c r="S30" s="50">
        <f t="shared" si="17"/>
        <v>4738721.5</v>
      </c>
      <c r="T30" s="99">
        <f>SUM(S3:S30)</f>
        <v>165699292.71000001</v>
      </c>
      <c r="U30" s="50">
        <f>S30-[1]TH_LUONG!$S$3</f>
        <v>-6581007.7000000011</v>
      </c>
    </row>
    <row r="31" spans="1:22" s="51" customFormat="1" ht="15" customHeight="1" x14ac:dyDescent="0.25">
      <c r="A31" s="46" t="s">
        <v>225</v>
      </c>
      <c r="B31" s="47" t="str">
        <f t="shared" si="0"/>
        <v>Nguyễn Thị Thu Lan</v>
      </c>
      <c r="C31" s="48">
        <f t="shared" si="1"/>
        <v>2.67</v>
      </c>
      <c r="D31" s="48">
        <f t="shared" si="2"/>
        <v>0</v>
      </c>
      <c r="E31" s="49">
        <f t="shared" si="3"/>
        <v>0</v>
      </c>
      <c r="F31" s="204">
        <f t="shared" si="4"/>
        <v>0.2</v>
      </c>
      <c r="G31" s="49">
        <f t="shared" si="5"/>
        <v>0</v>
      </c>
      <c r="H31" s="49">
        <f t="shared" si="6"/>
        <v>0</v>
      </c>
      <c r="I31" s="49">
        <f t="shared" si="7"/>
        <v>0</v>
      </c>
      <c r="J31" s="49">
        <f t="shared" si="18"/>
        <v>0</v>
      </c>
      <c r="K31" s="49">
        <f t="shared" si="9"/>
        <v>0</v>
      </c>
      <c r="L31" s="49">
        <f t="shared" si="10"/>
        <v>0</v>
      </c>
      <c r="M31" s="48">
        <f t="shared" si="11"/>
        <v>0</v>
      </c>
      <c r="N31" s="50">
        <f t="shared" si="13"/>
        <v>4276300</v>
      </c>
      <c r="O31" s="50">
        <f t="shared" si="14"/>
        <v>318264</v>
      </c>
      <c r="P31" s="50">
        <f t="shared" si="15"/>
        <v>59674.5</v>
      </c>
      <c r="Q31" s="50">
        <f t="shared" si="16"/>
        <v>39783</v>
      </c>
      <c r="R31" s="50">
        <f t="shared" si="12"/>
        <v>0</v>
      </c>
      <c r="S31" s="50">
        <f t="shared" si="17"/>
        <v>3858578.5</v>
      </c>
      <c r="T31" s="99">
        <f>SUM(S3:S31)</f>
        <v>169557871.21000001</v>
      </c>
      <c r="U31" s="50">
        <f>S31-[1]TH_LUONG!$S$3</f>
        <v>-7461150.7000000011</v>
      </c>
    </row>
    <row r="32" spans="1:22" s="51" customFormat="1" ht="15" hidden="1" customHeight="1" x14ac:dyDescent="0.25">
      <c r="A32" s="46" t="s">
        <v>225</v>
      </c>
      <c r="B32" s="47" t="str">
        <f t="shared" si="0"/>
        <v>Nguyễn Thị Thu Lan</v>
      </c>
      <c r="C32" s="48">
        <f t="shared" si="1"/>
        <v>2.67</v>
      </c>
      <c r="D32" s="48">
        <f t="shared" si="2"/>
        <v>0</v>
      </c>
      <c r="E32" s="49">
        <f t="shared" si="3"/>
        <v>0</v>
      </c>
      <c r="F32" s="204">
        <f t="shared" si="4"/>
        <v>0.2</v>
      </c>
      <c r="G32" s="49">
        <f t="shared" si="5"/>
        <v>0</v>
      </c>
      <c r="H32" s="49">
        <f t="shared" si="6"/>
        <v>0</v>
      </c>
      <c r="I32" s="49">
        <f t="shared" si="7"/>
        <v>0</v>
      </c>
      <c r="J32" s="49">
        <f t="shared" si="18"/>
        <v>0</v>
      </c>
      <c r="K32" s="49">
        <f t="shared" si="9"/>
        <v>0</v>
      </c>
      <c r="L32" s="49">
        <f t="shared" si="10"/>
        <v>0</v>
      </c>
      <c r="M32" s="48">
        <f t="shared" si="11"/>
        <v>0</v>
      </c>
      <c r="N32" s="50"/>
      <c r="O32" s="50"/>
      <c r="P32" s="50"/>
      <c r="Q32" s="50"/>
      <c r="R32" s="50"/>
      <c r="S32" s="50"/>
      <c r="U32" s="50">
        <f>S32-[1]TH_LUONG!$S$3</f>
        <v>-11319729.200000001</v>
      </c>
    </row>
    <row r="33" spans="1:21" s="51" customFormat="1" ht="15" customHeight="1" x14ac:dyDescent="0.25">
      <c r="A33" s="46" t="s">
        <v>231</v>
      </c>
      <c r="B33" s="47" t="str">
        <f t="shared" si="0"/>
        <v>Võ Văn Đô</v>
      </c>
      <c r="C33" s="48">
        <f t="shared" si="1"/>
        <v>3.49</v>
      </c>
      <c r="D33" s="48">
        <f t="shared" si="2"/>
        <v>0</v>
      </c>
      <c r="E33" s="49">
        <f t="shared" si="3"/>
        <v>0</v>
      </c>
      <c r="F33" s="204">
        <f t="shared" si="4"/>
        <v>0.2</v>
      </c>
      <c r="G33" s="49">
        <f t="shared" si="5"/>
        <v>0</v>
      </c>
      <c r="H33" s="49">
        <f t="shared" si="6"/>
        <v>0</v>
      </c>
      <c r="I33" s="49">
        <f t="shared" si="7"/>
        <v>0</v>
      </c>
      <c r="J33" s="49">
        <f t="shared" si="18"/>
        <v>0</v>
      </c>
      <c r="K33" s="49">
        <f t="shared" si="9"/>
        <v>0</v>
      </c>
      <c r="L33" s="49">
        <f t="shared" si="10"/>
        <v>0</v>
      </c>
      <c r="M33" s="48">
        <f t="shared" si="11"/>
        <v>0</v>
      </c>
      <c r="N33" s="50">
        <f>SUM(C33:M33)*luongcanban</f>
        <v>5498100.0000000009</v>
      </c>
      <c r="O33" s="50">
        <f>(SUM(C33:E33)+G33)*luongcanban*bhxh_1</f>
        <v>416008</v>
      </c>
      <c r="P33" s="50">
        <f>(SUM(C33:E33)+G33)*luongcanban*bhyt_1</f>
        <v>78001.5</v>
      </c>
      <c r="Q33" s="50">
        <f>(SUM(C33:E33)+G33)*luongcanban*bhtn_1</f>
        <v>52001</v>
      </c>
      <c r="R33" s="50">
        <f t="shared" si="12"/>
        <v>0</v>
      </c>
      <c r="S33" s="50">
        <f>N33-O33-P33-Q33+R33</f>
        <v>4952089.5000000009</v>
      </c>
      <c r="U33" s="50">
        <f>S33-[1]TH_LUONG!$S$3</f>
        <v>-6367639.7000000002</v>
      </c>
    </row>
    <row r="34" spans="1:21" s="51" customFormat="1" ht="15" hidden="1" customHeight="1" x14ac:dyDescent="0.25">
      <c r="A34" s="46" t="s">
        <v>228</v>
      </c>
      <c r="B34" s="47" t="str">
        <f t="shared" si="0"/>
        <v>Nguyễn Lộc Vĩnh</v>
      </c>
      <c r="C34" s="48">
        <f t="shared" si="1"/>
        <v>3</v>
      </c>
      <c r="D34" s="48">
        <f t="shared" si="2"/>
        <v>0</v>
      </c>
      <c r="E34" s="49">
        <f t="shared" si="3"/>
        <v>0</v>
      </c>
      <c r="F34" s="204">
        <f t="shared" si="4"/>
        <v>0.2</v>
      </c>
      <c r="G34" s="49">
        <f t="shared" si="5"/>
        <v>0</v>
      </c>
      <c r="H34" s="49">
        <f t="shared" si="6"/>
        <v>0</v>
      </c>
      <c r="I34" s="49">
        <f t="shared" si="7"/>
        <v>0</v>
      </c>
      <c r="J34" s="49">
        <f t="shared" si="18"/>
        <v>0</v>
      </c>
      <c r="K34" s="49">
        <f t="shared" si="9"/>
        <v>0</v>
      </c>
      <c r="L34" s="49">
        <f t="shared" si="10"/>
        <v>0</v>
      </c>
      <c r="M34" s="48">
        <f t="shared" si="11"/>
        <v>0</v>
      </c>
      <c r="N34" s="50"/>
      <c r="O34" s="50"/>
      <c r="P34" s="50"/>
      <c r="Q34" s="50"/>
      <c r="R34" s="50"/>
      <c r="S34" s="50"/>
      <c r="U34" s="50">
        <f>S34-[1]TH_LUONG!$S$3</f>
        <v>-11319729.200000001</v>
      </c>
    </row>
    <row r="35" spans="1:21" s="51" customFormat="1" ht="15" hidden="1" customHeight="1" x14ac:dyDescent="0.25">
      <c r="A35" s="46" t="s">
        <v>229</v>
      </c>
      <c r="B35" s="47" t="str">
        <f t="shared" si="0"/>
        <v>Trương Văn Thạch</v>
      </c>
      <c r="C35" s="48">
        <f t="shared" si="1"/>
        <v>2.67</v>
      </c>
      <c r="D35" s="48">
        <f t="shared" si="2"/>
        <v>0</v>
      </c>
      <c r="E35" s="49">
        <f t="shared" si="3"/>
        <v>0</v>
      </c>
      <c r="F35" s="204">
        <f t="shared" si="4"/>
        <v>0.2</v>
      </c>
      <c r="G35" s="49">
        <f t="shared" si="5"/>
        <v>0</v>
      </c>
      <c r="H35" s="49">
        <f t="shared" si="6"/>
        <v>0</v>
      </c>
      <c r="I35" s="49">
        <f t="shared" si="7"/>
        <v>0</v>
      </c>
      <c r="J35" s="49">
        <f t="shared" si="18"/>
        <v>0</v>
      </c>
      <c r="K35" s="49">
        <f t="shared" si="9"/>
        <v>0</v>
      </c>
      <c r="L35" s="49">
        <f t="shared" si="10"/>
        <v>0</v>
      </c>
      <c r="M35" s="48">
        <f t="shared" si="11"/>
        <v>0</v>
      </c>
      <c r="N35" s="50"/>
      <c r="O35" s="50"/>
      <c r="P35" s="50"/>
      <c r="Q35" s="50"/>
      <c r="R35" s="50"/>
      <c r="S35" s="50"/>
      <c r="U35" s="50">
        <f>S35-[1]TH_LUONG!$S$3</f>
        <v>-11319729.200000001</v>
      </c>
    </row>
    <row r="36" spans="1:21" s="51" customFormat="1" ht="15" hidden="1" customHeight="1" x14ac:dyDescent="0.25">
      <c r="A36" s="46" t="s">
        <v>230</v>
      </c>
      <c r="B36" s="47" t="str">
        <f t="shared" si="0"/>
        <v>Nguyễn Thị Cẩm Nhung</v>
      </c>
      <c r="C36" s="48">
        <f t="shared" si="1"/>
        <v>2.67</v>
      </c>
      <c r="D36" s="48">
        <f t="shared" si="2"/>
        <v>0</v>
      </c>
      <c r="E36" s="49">
        <f t="shared" si="3"/>
        <v>0</v>
      </c>
      <c r="F36" s="204">
        <f t="shared" si="4"/>
        <v>0.2</v>
      </c>
      <c r="G36" s="49">
        <f t="shared" si="5"/>
        <v>0</v>
      </c>
      <c r="H36" s="49">
        <f t="shared" si="6"/>
        <v>0</v>
      </c>
      <c r="I36" s="49">
        <f t="shared" si="7"/>
        <v>0</v>
      </c>
      <c r="J36" s="49">
        <f t="shared" si="18"/>
        <v>0</v>
      </c>
      <c r="K36" s="49">
        <f t="shared" si="9"/>
        <v>0</v>
      </c>
      <c r="L36" s="49">
        <f t="shared" si="10"/>
        <v>0</v>
      </c>
      <c r="M36" s="48">
        <f t="shared" si="11"/>
        <v>0</v>
      </c>
      <c r="N36" s="50"/>
      <c r="O36" s="50"/>
      <c r="P36" s="50"/>
      <c r="Q36" s="50"/>
      <c r="R36" s="50"/>
      <c r="S36" s="50"/>
      <c r="U36" s="50">
        <f>S36-[1]TH_LUONG!$S$3</f>
        <v>-11319729.200000001</v>
      </c>
    </row>
    <row r="37" spans="1:21" s="51" customFormat="1" ht="15" hidden="1" customHeight="1" x14ac:dyDescent="0.25">
      <c r="A37" s="46" t="s">
        <v>232</v>
      </c>
      <c r="B37" s="47" t="str">
        <f t="shared" si="0"/>
        <v>Nguyễn Văn Giàu</v>
      </c>
      <c r="C37" s="48">
        <f t="shared" si="1"/>
        <v>2.58</v>
      </c>
      <c r="D37" s="48">
        <f t="shared" si="2"/>
        <v>0</v>
      </c>
      <c r="E37" s="49">
        <f t="shared" si="3"/>
        <v>0</v>
      </c>
      <c r="F37" s="204">
        <f t="shared" si="4"/>
        <v>0.2</v>
      </c>
      <c r="G37" s="49">
        <f t="shared" si="5"/>
        <v>0</v>
      </c>
      <c r="H37" s="49">
        <f t="shared" si="6"/>
        <v>0</v>
      </c>
      <c r="I37" s="49">
        <f t="shared" si="7"/>
        <v>0</v>
      </c>
      <c r="J37" s="49">
        <f t="shared" si="18"/>
        <v>0</v>
      </c>
      <c r="K37" s="49">
        <f t="shared" si="9"/>
        <v>0</v>
      </c>
      <c r="L37" s="49">
        <f t="shared" si="10"/>
        <v>0</v>
      </c>
      <c r="M37" s="48">
        <f t="shared" si="11"/>
        <v>0</v>
      </c>
      <c r="N37" s="50"/>
      <c r="O37" s="50"/>
      <c r="P37" s="50"/>
      <c r="Q37" s="50"/>
      <c r="R37" s="50"/>
      <c r="S37" s="50"/>
      <c r="U37" s="50">
        <f>S37-[1]TH_LUONG!$S$3</f>
        <v>-11319729.200000001</v>
      </c>
    </row>
    <row r="38" spans="1:21" s="51" customFormat="1" ht="15" hidden="1" customHeight="1" x14ac:dyDescent="0.25">
      <c r="A38" s="46" t="s">
        <v>233</v>
      </c>
      <c r="B38" s="47" t="str">
        <f t="shared" si="0"/>
        <v>Nguyễn Thị Sa Ly</v>
      </c>
      <c r="C38" s="48">
        <f t="shared" si="1"/>
        <v>1</v>
      </c>
      <c r="D38" s="48">
        <f t="shared" si="2"/>
        <v>0</v>
      </c>
      <c r="E38" s="49">
        <f t="shared" si="3"/>
        <v>0</v>
      </c>
      <c r="F38" s="204">
        <f t="shared" si="4"/>
        <v>0.2</v>
      </c>
      <c r="G38" s="49">
        <f t="shared" si="5"/>
        <v>0</v>
      </c>
      <c r="H38" s="49">
        <f t="shared" si="6"/>
        <v>0</v>
      </c>
      <c r="I38" s="49">
        <f t="shared" si="7"/>
        <v>0</v>
      </c>
      <c r="J38" s="49">
        <f t="shared" si="18"/>
        <v>0</v>
      </c>
      <c r="K38" s="49">
        <f t="shared" si="9"/>
        <v>0</v>
      </c>
      <c r="L38" s="49">
        <f t="shared" si="10"/>
        <v>0</v>
      </c>
      <c r="M38" s="48">
        <f t="shared" si="11"/>
        <v>0</v>
      </c>
      <c r="N38" s="50"/>
      <c r="O38" s="50"/>
      <c r="P38" s="50"/>
      <c r="Q38" s="50"/>
      <c r="R38" s="50"/>
      <c r="S38" s="50"/>
      <c r="U38" s="50">
        <f>S38-[1]TH_LUONG!$S$3</f>
        <v>-11319729.200000001</v>
      </c>
    </row>
    <row r="39" spans="1:21" s="51" customFormat="1" ht="15" customHeight="1" x14ac:dyDescent="0.25">
      <c r="A39" s="46" t="s">
        <v>232</v>
      </c>
      <c r="B39" s="47" t="str">
        <f t="shared" si="0"/>
        <v>Nguyễn Văn Giàu</v>
      </c>
      <c r="C39" s="48">
        <f t="shared" si="1"/>
        <v>2.58</v>
      </c>
      <c r="D39" s="48">
        <f t="shared" si="2"/>
        <v>0</v>
      </c>
      <c r="E39" s="49">
        <f t="shared" ref="E39:E44" si="19">VLOOKUP(manhanvien,nhanvien,11,FALSE)</f>
        <v>0</v>
      </c>
      <c r="F39" s="204">
        <f t="shared" si="4"/>
        <v>0.2</v>
      </c>
      <c r="G39" s="49">
        <f t="shared" ref="G39:G44" si="20">VLOOKUP(manhanvien,nhanvien,17,FALSE)</f>
        <v>0</v>
      </c>
      <c r="H39" s="49">
        <f t="shared" si="6"/>
        <v>0</v>
      </c>
      <c r="I39" s="49">
        <f t="shared" si="7"/>
        <v>0</v>
      </c>
      <c r="J39" s="49">
        <f t="shared" si="18"/>
        <v>0</v>
      </c>
      <c r="K39" s="49">
        <f t="shared" si="9"/>
        <v>0</v>
      </c>
      <c r="L39" s="49">
        <f t="shared" si="10"/>
        <v>0</v>
      </c>
      <c r="M39" s="48">
        <f t="shared" si="11"/>
        <v>0</v>
      </c>
      <c r="N39" s="50">
        <f t="shared" si="13"/>
        <v>4142200.0000000005</v>
      </c>
      <c r="O39" s="50">
        <f t="shared" si="14"/>
        <v>307536</v>
      </c>
      <c r="P39" s="50">
        <f t="shared" si="15"/>
        <v>57663</v>
      </c>
      <c r="Q39" s="50">
        <f t="shared" si="16"/>
        <v>38442</v>
      </c>
      <c r="R39" s="50">
        <f t="shared" si="12"/>
        <v>0</v>
      </c>
      <c r="S39" s="50">
        <f t="shared" si="17"/>
        <v>3738559.0000000005</v>
      </c>
      <c r="U39" s="50">
        <f>S39-[1]TH_LUONG!$S$3</f>
        <v>-7581170.2000000011</v>
      </c>
    </row>
    <row r="40" spans="1:21" s="51" customFormat="1" ht="15" customHeight="1" x14ac:dyDescent="0.25">
      <c r="A40" s="46" t="s">
        <v>233</v>
      </c>
      <c r="B40" s="47" t="str">
        <f t="shared" si="0"/>
        <v>Nguyễn Thị Sa Ly</v>
      </c>
      <c r="C40" s="48">
        <f>VLOOKUP(manhanvien,nhanvien,5,FALSE)</f>
        <v>1</v>
      </c>
      <c r="D40" s="48">
        <f t="shared" si="2"/>
        <v>0</v>
      </c>
      <c r="E40" s="49">
        <f t="shared" si="19"/>
        <v>0</v>
      </c>
      <c r="F40" s="204">
        <f t="shared" si="4"/>
        <v>0.2</v>
      </c>
      <c r="G40" s="49">
        <f t="shared" si="20"/>
        <v>0</v>
      </c>
      <c r="H40" s="49">
        <f t="shared" si="6"/>
        <v>0</v>
      </c>
      <c r="I40" s="49">
        <f t="shared" si="7"/>
        <v>0</v>
      </c>
      <c r="J40" s="49">
        <f t="shared" si="18"/>
        <v>0</v>
      </c>
      <c r="K40" s="49">
        <f t="shared" si="9"/>
        <v>0</v>
      </c>
      <c r="L40" s="49">
        <f t="shared" si="10"/>
        <v>0</v>
      </c>
      <c r="M40" s="48">
        <f t="shared" si="11"/>
        <v>0</v>
      </c>
      <c r="N40" s="50">
        <f>SUM(C40:M40)*luongcanban</f>
        <v>1788000</v>
      </c>
      <c r="O40" s="50">
        <f>(SUM(C40:E40)+G40)*luongcanban*bhxh_1</f>
        <v>119200</v>
      </c>
      <c r="P40" s="50">
        <f>(SUM(C40:E40)+G40)*luongcanban*bhyt_1</f>
        <v>22350</v>
      </c>
      <c r="Q40" s="50">
        <f>(SUM(C40:E40)+G40)*luongcanban*bhtn_1</f>
        <v>14900</v>
      </c>
      <c r="R40" s="50">
        <f t="shared" si="12"/>
        <v>0</v>
      </c>
      <c r="S40" s="50">
        <f>N40-O40-P40-Q40+R40</f>
        <v>1631550</v>
      </c>
      <c r="U40" s="50">
        <f>S40-[1]TH_LUONG!$S$3</f>
        <v>-9688179.2000000011</v>
      </c>
    </row>
    <row r="41" spans="1:21" s="51" customFormat="1" ht="15" customHeight="1" x14ac:dyDescent="0.25">
      <c r="A41" s="46" t="s">
        <v>242</v>
      </c>
      <c r="B41" s="47" t="str">
        <f t="shared" si="0"/>
        <v>Trần Thị Nhung</v>
      </c>
      <c r="C41" s="48">
        <f t="shared" si="1"/>
        <v>2.08</v>
      </c>
      <c r="D41" s="48">
        <f t="shared" si="2"/>
        <v>0</v>
      </c>
      <c r="E41" s="49">
        <f t="shared" si="19"/>
        <v>0</v>
      </c>
      <c r="F41" s="204">
        <f t="shared" si="4"/>
        <v>0.2</v>
      </c>
      <c r="G41" s="49">
        <f t="shared" si="20"/>
        <v>0</v>
      </c>
      <c r="H41" s="49">
        <f t="shared" si="6"/>
        <v>0.1</v>
      </c>
      <c r="I41" s="49">
        <f t="shared" si="7"/>
        <v>0</v>
      </c>
      <c r="J41" s="49">
        <f t="shared" si="18"/>
        <v>0</v>
      </c>
      <c r="K41" s="49">
        <f t="shared" si="9"/>
        <v>0</v>
      </c>
      <c r="L41" s="49">
        <f t="shared" si="10"/>
        <v>0</v>
      </c>
      <c r="M41" s="48">
        <f t="shared" si="11"/>
        <v>0</v>
      </c>
      <c r="N41" s="50">
        <f>SUM(C41:M41)*luongcanban</f>
        <v>3546200.0000000005</v>
      </c>
      <c r="O41" s="50">
        <f>(SUM(C41:E41)+G41)*luongcanban*bhxh_1</f>
        <v>247936</v>
      </c>
      <c r="P41" s="50">
        <f>(SUM(C41:E41)+G41)*luongcanban*bhyt_1</f>
        <v>46488</v>
      </c>
      <c r="Q41" s="50">
        <f>(SUM(C41:E41)+G41)*luongcanban*bhtn_1</f>
        <v>30992</v>
      </c>
      <c r="R41" s="50">
        <f t="shared" si="12"/>
        <v>0</v>
      </c>
      <c r="S41" s="50">
        <f>N41-O41-P41-Q41+R41</f>
        <v>3220784.0000000005</v>
      </c>
      <c r="U41" s="50">
        <f>S41-[1]TH_LUONG!$S$3</f>
        <v>-8098945.2000000011</v>
      </c>
    </row>
    <row r="42" spans="1:21" s="51" customFormat="1" ht="15" customHeight="1" x14ac:dyDescent="0.25">
      <c r="A42" s="46" t="s">
        <v>247</v>
      </c>
      <c r="B42" s="47" t="str">
        <f t="shared" si="0"/>
        <v>Nguyễn Hoàng Nhu</v>
      </c>
      <c r="C42" s="48">
        <f t="shared" si="1"/>
        <v>2.2200000000000002</v>
      </c>
      <c r="D42" s="48">
        <f t="shared" si="2"/>
        <v>0</v>
      </c>
      <c r="E42" s="49">
        <f t="shared" si="19"/>
        <v>0</v>
      </c>
      <c r="F42" s="204">
        <f t="shared" si="4"/>
        <v>0.2</v>
      </c>
      <c r="G42" s="49">
        <f t="shared" si="20"/>
        <v>0</v>
      </c>
      <c r="H42" s="49">
        <f t="shared" si="6"/>
        <v>0</v>
      </c>
      <c r="I42" s="49">
        <f t="shared" si="7"/>
        <v>0</v>
      </c>
      <c r="J42" s="49">
        <f t="shared" si="18"/>
        <v>0</v>
      </c>
      <c r="K42" s="49">
        <f t="shared" si="9"/>
        <v>0</v>
      </c>
      <c r="L42" s="49">
        <f t="shared" si="10"/>
        <v>0</v>
      </c>
      <c r="M42" s="48">
        <f t="shared" si="11"/>
        <v>0</v>
      </c>
      <c r="N42" s="50">
        <f>SUM(C42:M42)*luongcanban</f>
        <v>3605800.0000000005</v>
      </c>
      <c r="O42" s="50">
        <f>(SUM(C42:E42)+G42)*luongcanban*bhxh_1</f>
        <v>264624.00000000006</v>
      </c>
      <c r="P42" s="50">
        <f>(SUM(C42:E42)+G42)*luongcanban*bhyt_1</f>
        <v>49617.000000000007</v>
      </c>
      <c r="Q42" s="50">
        <f>(SUM(C42:E42)+G42)*luongcanban*bhtn_1</f>
        <v>33078.000000000007</v>
      </c>
      <c r="R42" s="50">
        <f t="shared" si="12"/>
        <v>0</v>
      </c>
      <c r="S42" s="50">
        <f>N42-O42-P42-Q42+R42</f>
        <v>3258481.0000000005</v>
      </c>
      <c r="U42" s="50">
        <f>S42-[1]TH_LUONG!$S$3</f>
        <v>-8061248.2000000011</v>
      </c>
    </row>
    <row r="43" spans="1:21" s="51" customFormat="1" ht="15" customHeight="1" x14ac:dyDescent="0.25">
      <c r="A43" s="46" t="s">
        <v>248</v>
      </c>
      <c r="B43" s="47" t="str">
        <f t="shared" si="0"/>
        <v>Lâm Văn Tâm</v>
      </c>
      <c r="C43" s="48">
        <f t="shared" si="1"/>
        <v>2.04</v>
      </c>
      <c r="D43" s="48">
        <f t="shared" si="2"/>
        <v>0</v>
      </c>
      <c r="E43" s="49">
        <f t="shared" si="19"/>
        <v>0</v>
      </c>
      <c r="F43" s="204">
        <f t="shared" si="4"/>
        <v>0.2</v>
      </c>
      <c r="G43" s="49">
        <f t="shared" si="20"/>
        <v>0</v>
      </c>
      <c r="H43" s="49">
        <f t="shared" si="6"/>
        <v>0</v>
      </c>
      <c r="I43" s="49">
        <f t="shared" si="7"/>
        <v>0</v>
      </c>
      <c r="J43" s="49">
        <f t="shared" si="18"/>
        <v>0</v>
      </c>
      <c r="K43" s="49">
        <f t="shared" si="9"/>
        <v>0</v>
      </c>
      <c r="L43" s="49">
        <f t="shared" si="10"/>
        <v>0</v>
      </c>
      <c r="M43" s="48">
        <f t="shared" si="11"/>
        <v>0</v>
      </c>
      <c r="N43" s="50">
        <f>SUM(C43:M43)*luongcanban</f>
        <v>3337600.0000000005</v>
      </c>
      <c r="O43" s="50">
        <f>(SUM(C43:E43)+G43)*luongcanban*bhxh_1</f>
        <v>243168</v>
      </c>
      <c r="P43" s="50">
        <f>(SUM(C43:E43)+G43)*luongcanban*bhyt_1</f>
        <v>45594</v>
      </c>
      <c r="Q43" s="50">
        <f>(SUM(C43:E43)+G43)*luongcanban*bhtn_1</f>
        <v>30396</v>
      </c>
      <c r="R43" s="50">
        <f t="shared" si="12"/>
        <v>0</v>
      </c>
      <c r="S43" s="50">
        <f>N43-O43-P43-Q43+R43</f>
        <v>3018442.0000000005</v>
      </c>
      <c r="U43" s="50">
        <f>S43-[1]TH_LUONG!$S$3</f>
        <v>-8301287.2000000011</v>
      </c>
    </row>
    <row r="44" spans="1:21" s="51" customFormat="1" ht="18.75" customHeight="1" x14ac:dyDescent="0.25">
      <c r="A44" s="46" t="s">
        <v>258</v>
      </c>
      <c r="B44" s="47" t="str">
        <f t="shared" si="0"/>
        <v>Nguyễn Minh Phương</v>
      </c>
      <c r="C44" s="48">
        <f t="shared" si="1"/>
        <v>1.86</v>
      </c>
      <c r="D44" s="48">
        <f t="shared" si="2"/>
        <v>0</v>
      </c>
      <c r="E44" s="49">
        <f t="shared" si="19"/>
        <v>0</v>
      </c>
      <c r="F44" s="204">
        <f t="shared" si="4"/>
        <v>0.2</v>
      </c>
      <c r="G44" s="49">
        <f t="shared" si="20"/>
        <v>0</v>
      </c>
      <c r="H44" s="49">
        <f t="shared" si="6"/>
        <v>0</v>
      </c>
      <c r="I44" s="49">
        <f t="shared" si="7"/>
        <v>0</v>
      </c>
      <c r="J44" s="49">
        <f t="shared" si="18"/>
        <v>0</v>
      </c>
      <c r="K44" s="49">
        <f t="shared" si="9"/>
        <v>0</v>
      </c>
      <c r="L44" s="49">
        <f t="shared" si="10"/>
        <v>0</v>
      </c>
      <c r="M44" s="48">
        <f t="shared" si="11"/>
        <v>0</v>
      </c>
      <c r="N44" s="50">
        <f>SUM(C44:M44)*luongcanban</f>
        <v>3069400</v>
      </c>
      <c r="O44" s="50">
        <f>(SUM(C44:E44)+G44)*luongcanban*bhxh_1</f>
        <v>221712</v>
      </c>
      <c r="P44" s="50">
        <f>(SUM(C44:E44)+G44)*luongcanban*bhyt_1</f>
        <v>41571</v>
      </c>
      <c r="Q44" s="50">
        <f>(SUM(C44:E44)+G44)*luongcanban*bhtn_1</f>
        <v>27714</v>
      </c>
      <c r="R44" s="50">
        <f t="shared" si="12"/>
        <v>300000</v>
      </c>
      <c r="S44" s="50">
        <f>N44-O44-P44-Q44+R44</f>
        <v>3078403</v>
      </c>
      <c r="U44" s="50">
        <f>S44-[1]TH_LUONG!$S$3</f>
        <v>-8241326.2000000011</v>
      </c>
    </row>
    <row r="45" spans="1:21" s="57" customFormat="1" ht="15" customHeight="1" x14ac:dyDescent="0.25">
      <c r="A45" s="52"/>
      <c r="B45" s="61" t="s">
        <v>49</v>
      </c>
      <c r="C45" s="54">
        <f t="shared" ref="C45:S45" si="21">SUM(C3:C44)</f>
        <v>130.07</v>
      </c>
      <c r="D45" s="54">
        <f t="shared" si="21"/>
        <v>5.2999999999999989</v>
      </c>
      <c r="E45" s="54">
        <f t="shared" si="21"/>
        <v>0.34860000000000008</v>
      </c>
      <c r="F45" s="54">
        <f t="shared" si="21"/>
        <v>8.4000000000000021</v>
      </c>
      <c r="G45" s="54">
        <f t="shared" si="21"/>
        <v>4.1915999999999993</v>
      </c>
      <c r="H45" s="54">
        <f t="shared" si="21"/>
        <v>0.5</v>
      </c>
      <c r="I45" s="54">
        <f t="shared" si="21"/>
        <v>7.9260000000000002</v>
      </c>
      <c r="J45" s="54">
        <f t="shared" si="21"/>
        <v>0.4</v>
      </c>
      <c r="K45" s="54">
        <f t="shared" si="21"/>
        <v>0.70000000000000007</v>
      </c>
      <c r="L45" s="54">
        <f t="shared" si="21"/>
        <v>0</v>
      </c>
      <c r="M45" s="54">
        <f t="shared" si="21"/>
        <v>0</v>
      </c>
      <c r="N45" s="56">
        <f t="shared" si="21"/>
        <v>211648838</v>
      </c>
      <c r="O45" s="56">
        <f t="shared" si="21"/>
        <v>14938167.84</v>
      </c>
      <c r="P45" s="56">
        <f t="shared" si="21"/>
        <v>2800906.4699999997</v>
      </c>
      <c r="Q45" s="56">
        <f t="shared" si="21"/>
        <v>1753583.98</v>
      </c>
      <c r="R45" s="56">
        <f t="shared" si="21"/>
        <v>300000</v>
      </c>
      <c r="S45" s="56">
        <f t="shared" si="21"/>
        <v>192456179.71000001</v>
      </c>
      <c r="T45" s="101"/>
      <c r="U45" s="101">
        <f>SUM(U3:U44)</f>
        <v>-282972446.68999988</v>
      </c>
    </row>
    <row r="46" spans="1:21" s="57" customFormat="1" ht="15" customHeight="1" x14ac:dyDescent="0.25">
      <c r="A46" s="74"/>
      <c r="B46" s="75"/>
      <c r="C46" s="76"/>
      <c r="D46" s="76"/>
      <c r="E46" s="77"/>
      <c r="F46" s="76"/>
      <c r="G46" s="77"/>
      <c r="H46" s="76"/>
      <c r="I46" s="77"/>
      <c r="J46" s="76"/>
      <c r="K46" s="76"/>
      <c r="L46" s="76"/>
      <c r="M46" s="76"/>
      <c r="N46" s="78"/>
      <c r="O46" s="78"/>
      <c r="P46" s="78"/>
      <c r="Q46" s="78"/>
      <c r="R46" s="78"/>
      <c r="S46" s="79"/>
    </row>
    <row r="47" spans="1:21" s="57" customFormat="1" ht="15" customHeight="1" x14ac:dyDescent="0.25">
      <c r="A47" s="74"/>
      <c r="B47" s="75"/>
      <c r="C47" s="76"/>
      <c r="D47" s="76"/>
      <c r="E47" s="77"/>
      <c r="F47" s="76"/>
      <c r="G47" s="77"/>
      <c r="H47" s="76"/>
      <c r="I47" s="77"/>
      <c r="J47" s="76"/>
      <c r="K47" s="76"/>
      <c r="L47" s="76"/>
      <c r="M47" s="76"/>
      <c r="N47" s="78"/>
      <c r="O47" s="78"/>
      <c r="P47" s="78"/>
      <c r="Q47" s="78"/>
      <c r="R47" s="78"/>
      <c r="S47" s="79"/>
    </row>
    <row r="48" spans="1:21" s="57" customFormat="1" ht="15" customHeight="1" x14ac:dyDescent="0.25">
      <c r="A48" s="74"/>
      <c r="B48" s="75"/>
      <c r="C48" s="76"/>
      <c r="D48" s="76"/>
      <c r="E48" s="77"/>
      <c r="F48" s="76"/>
      <c r="G48" s="77"/>
      <c r="H48" s="76"/>
      <c r="I48" s="77"/>
      <c r="J48" s="76"/>
      <c r="K48" s="76"/>
      <c r="L48" s="76"/>
      <c r="M48" s="76"/>
      <c r="N48" s="78"/>
      <c r="O48" s="78"/>
      <c r="P48" s="78"/>
      <c r="Q48" s="78"/>
      <c r="R48" s="78"/>
      <c r="S48" s="79"/>
    </row>
    <row r="49" spans="1:19" s="57" customFormat="1" ht="15" customHeight="1" x14ac:dyDescent="0.25">
      <c r="A49" s="74"/>
      <c r="B49" s="75"/>
      <c r="C49" s="76">
        <f>C45-[1]TH_LUONG!$C$53</f>
        <v>-15.96999999999997</v>
      </c>
      <c r="D49" s="76"/>
      <c r="E49" s="77"/>
      <c r="F49" s="76"/>
      <c r="G49" s="77"/>
      <c r="H49" s="76"/>
      <c r="I49" s="77"/>
      <c r="J49" s="76"/>
      <c r="K49" s="76"/>
      <c r="L49" s="76"/>
      <c r="M49" s="76"/>
      <c r="N49" s="78"/>
      <c r="O49" s="78"/>
      <c r="P49" s="78"/>
      <c r="Q49" s="78"/>
      <c r="R49" s="78"/>
      <c r="S49" s="79"/>
    </row>
    <row r="50" spans="1:19" s="57" customFormat="1" ht="15" customHeight="1" x14ac:dyDescent="0.25">
      <c r="A50" s="74"/>
      <c r="B50" s="75"/>
      <c r="C50" s="76"/>
      <c r="D50" s="76"/>
      <c r="E50" s="77"/>
      <c r="F50" s="76"/>
      <c r="G50" s="77"/>
      <c r="H50" s="76"/>
      <c r="I50" s="77"/>
      <c r="J50" s="76"/>
      <c r="K50" s="76"/>
      <c r="L50" s="76"/>
      <c r="M50" s="76"/>
      <c r="N50" s="78"/>
      <c r="O50" s="78"/>
      <c r="P50" s="78"/>
      <c r="Q50" s="78"/>
      <c r="R50" s="78"/>
      <c r="S50" s="79"/>
    </row>
    <row r="51" spans="1:19" s="57" customFormat="1" ht="15" customHeight="1" x14ac:dyDescent="0.25">
      <c r="A51" s="74"/>
      <c r="B51" s="75"/>
      <c r="C51" s="76"/>
      <c r="D51" s="76"/>
      <c r="E51" s="77"/>
      <c r="F51" s="76"/>
      <c r="G51" s="77"/>
      <c r="H51" s="76"/>
      <c r="I51" s="77"/>
      <c r="J51" s="76"/>
      <c r="K51" s="76"/>
      <c r="L51" s="76"/>
      <c r="M51" s="76"/>
      <c r="N51" s="78"/>
      <c r="O51" s="78"/>
      <c r="P51" s="78"/>
      <c r="Q51" s="78"/>
      <c r="R51" s="78"/>
      <c r="S51" s="79"/>
    </row>
    <row r="52" spans="1:19" s="57" customFormat="1" ht="15" customHeight="1" x14ac:dyDescent="0.25">
      <c r="A52" s="74"/>
      <c r="B52" s="75"/>
      <c r="C52" s="76"/>
      <c r="D52" s="76"/>
      <c r="E52" s="77"/>
      <c r="F52" s="76"/>
      <c r="G52" s="77"/>
      <c r="H52" s="76"/>
      <c r="I52" s="77"/>
      <c r="J52" s="76"/>
      <c r="K52" s="76"/>
      <c r="L52" s="76"/>
      <c r="M52" s="76"/>
      <c r="N52" s="78"/>
      <c r="O52" s="78"/>
      <c r="P52" s="78"/>
      <c r="Q52" s="78"/>
      <c r="R52" s="78"/>
      <c r="S52" s="79"/>
    </row>
    <row r="53" spans="1:19" s="57" customFormat="1" ht="15" customHeight="1" x14ac:dyDescent="0.25">
      <c r="A53" s="74"/>
      <c r="B53" s="75"/>
      <c r="C53" s="76"/>
      <c r="D53" s="76"/>
      <c r="E53" s="77"/>
      <c r="F53" s="76"/>
      <c r="G53" s="77"/>
      <c r="H53" s="76"/>
      <c r="I53" s="77"/>
      <c r="J53" s="76"/>
      <c r="K53" s="76"/>
      <c r="L53" s="76"/>
      <c r="M53" s="76"/>
      <c r="N53" s="78"/>
      <c r="O53" s="78"/>
      <c r="P53" s="78"/>
      <c r="Q53" s="78"/>
      <c r="R53" s="78"/>
      <c r="S53" s="79">
        <f>392-386</f>
        <v>6</v>
      </c>
    </row>
    <row r="54" spans="1:19" s="57" customFormat="1" ht="15" customHeight="1" x14ac:dyDescent="0.25">
      <c r="A54" s="74"/>
      <c r="B54" s="75"/>
      <c r="C54" s="76"/>
      <c r="D54" s="76"/>
      <c r="E54" s="77"/>
      <c r="F54" s="76"/>
      <c r="G54" s="77"/>
      <c r="H54" s="76"/>
      <c r="I54" s="77"/>
      <c r="J54" s="76"/>
      <c r="K54" s="76"/>
      <c r="L54" s="76"/>
      <c r="M54" s="76"/>
      <c r="N54" s="78"/>
      <c r="O54" s="78"/>
      <c r="P54" s="78"/>
      <c r="Q54" s="78"/>
      <c r="R54" s="78"/>
      <c r="S54" s="79"/>
    </row>
    <row r="55" spans="1:19" s="57" customFormat="1" ht="15" customHeight="1" x14ac:dyDescent="0.25">
      <c r="A55" s="74"/>
      <c r="B55" s="75"/>
      <c r="C55" s="76"/>
      <c r="D55" s="76"/>
      <c r="E55" s="77"/>
      <c r="F55" s="76"/>
      <c r="G55" s="77"/>
      <c r="H55" s="76"/>
      <c r="I55" s="77"/>
      <c r="J55" s="76"/>
      <c r="K55" s="76"/>
      <c r="L55" s="76"/>
      <c r="M55" s="76"/>
      <c r="N55" s="78"/>
      <c r="O55" s="78"/>
      <c r="P55" s="78"/>
      <c r="Q55" s="78"/>
      <c r="R55" s="78"/>
      <c r="S55" s="79"/>
    </row>
    <row r="56" spans="1:19" s="57" customFormat="1" ht="15" customHeight="1" x14ac:dyDescent="0.25">
      <c r="A56" s="74"/>
      <c r="B56" s="75"/>
      <c r="C56" s="76"/>
      <c r="D56" s="76"/>
      <c r="E56" s="77"/>
      <c r="F56" s="76"/>
      <c r="G56" s="77"/>
      <c r="H56" s="76"/>
      <c r="I56" s="77"/>
      <c r="J56" s="76"/>
      <c r="K56" s="76"/>
      <c r="L56" s="76"/>
      <c r="M56" s="76"/>
      <c r="N56" s="78"/>
      <c r="O56" s="78"/>
      <c r="P56" s="78"/>
      <c r="Q56" s="78"/>
      <c r="R56" s="78"/>
      <c r="S56" s="79"/>
    </row>
    <row r="57" spans="1:19" s="57" customFormat="1" ht="15" customHeight="1" x14ac:dyDescent="0.25">
      <c r="A57" s="74"/>
      <c r="B57" s="75"/>
      <c r="C57" s="76"/>
      <c r="D57" s="76"/>
      <c r="E57" s="77"/>
      <c r="F57" s="76"/>
      <c r="G57" s="77"/>
      <c r="H57" s="76"/>
      <c r="I57" s="77"/>
      <c r="J57" s="76"/>
      <c r="K57" s="76"/>
      <c r="L57" s="76"/>
      <c r="M57" s="76"/>
      <c r="N57" s="78"/>
      <c r="O57" s="78"/>
      <c r="P57" s="78"/>
      <c r="Q57" s="78"/>
      <c r="R57" s="78"/>
      <c r="S57" s="79"/>
    </row>
    <row r="58" spans="1:19" s="57" customFormat="1" ht="15" customHeight="1" x14ac:dyDescent="0.25">
      <c r="A58" s="74"/>
      <c r="B58" s="75"/>
      <c r="C58" s="76"/>
      <c r="D58" s="76"/>
      <c r="E58" s="77"/>
      <c r="F58" s="76"/>
      <c r="G58" s="77"/>
      <c r="H58" s="76"/>
      <c r="I58" s="77"/>
      <c r="J58" s="76"/>
      <c r="K58" s="76"/>
      <c r="L58" s="76"/>
      <c r="M58" s="76"/>
      <c r="N58" s="78"/>
      <c r="O58" s="78"/>
      <c r="P58" s="78"/>
      <c r="Q58" s="78"/>
      <c r="R58" s="78"/>
      <c r="S58" s="79"/>
    </row>
    <row r="59" spans="1:19" s="57" customFormat="1" ht="15" customHeight="1" x14ac:dyDescent="0.25">
      <c r="A59" s="74"/>
      <c r="B59" s="75"/>
      <c r="C59" s="76"/>
      <c r="D59" s="76"/>
      <c r="E59" s="77"/>
      <c r="F59" s="76"/>
      <c r="G59" s="77"/>
      <c r="H59" s="76"/>
      <c r="I59" s="77"/>
      <c r="J59" s="76"/>
      <c r="K59" s="76"/>
      <c r="L59" s="76"/>
      <c r="M59" s="76"/>
      <c r="N59" s="78"/>
      <c r="O59" s="78"/>
      <c r="P59" s="78"/>
      <c r="Q59" s="78"/>
      <c r="R59" s="78"/>
      <c r="S59" s="79"/>
    </row>
    <row r="60" spans="1:19" s="57" customFormat="1" ht="15" customHeight="1" x14ac:dyDescent="0.25">
      <c r="A60" s="74"/>
      <c r="B60" s="75"/>
      <c r="C60" s="76"/>
      <c r="D60" s="76"/>
      <c r="E60" s="77"/>
      <c r="F60" s="76"/>
      <c r="G60" s="77"/>
      <c r="H60" s="76"/>
      <c r="I60" s="77"/>
      <c r="J60" s="76"/>
      <c r="K60" s="76"/>
      <c r="L60" s="76"/>
      <c r="M60" s="76"/>
      <c r="N60" s="78"/>
      <c r="O60" s="78"/>
      <c r="P60" s="78"/>
      <c r="Q60" s="78"/>
      <c r="R60" s="78"/>
      <c r="S60" s="79"/>
    </row>
    <row r="61" spans="1:19" s="57" customFormat="1" ht="15" customHeight="1" x14ac:dyDescent="0.25">
      <c r="A61" s="74"/>
      <c r="B61" s="75"/>
      <c r="C61" s="76"/>
      <c r="D61" s="76"/>
      <c r="E61" s="77"/>
      <c r="F61" s="76"/>
      <c r="G61" s="77"/>
      <c r="H61" s="76"/>
      <c r="I61" s="77"/>
      <c r="J61" s="76"/>
      <c r="K61" s="76"/>
      <c r="L61" s="76"/>
      <c r="M61" s="76"/>
      <c r="N61" s="78"/>
      <c r="O61" s="78"/>
      <c r="P61" s="78"/>
      <c r="Q61" s="78"/>
      <c r="R61" s="78"/>
      <c r="S61" s="79"/>
    </row>
    <row r="62" spans="1:19" s="57" customFormat="1" ht="15" customHeight="1" x14ac:dyDescent="0.25">
      <c r="A62" s="74"/>
      <c r="B62" s="75"/>
      <c r="C62" s="76"/>
      <c r="D62" s="76"/>
      <c r="E62" s="77"/>
      <c r="F62" s="76"/>
      <c r="G62" s="77"/>
      <c r="H62" s="76"/>
      <c r="I62" s="77"/>
      <c r="J62" s="76"/>
      <c r="K62" s="76"/>
      <c r="L62" s="76"/>
      <c r="M62" s="76"/>
      <c r="N62" s="78"/>
      <c r="O62" s="78"/>
      <c r="P62" s="78"/>
      <c r="Q62" s="78"/>
      <c r="R62" s="78"/>
      <c r="S62" s="79"/>
    </row>
    <row r="63" spans="1:19" s="57" customFormat="1" ht="15" customHeight="1" x14ac:dyDescent="0.25">
      <c r="A63" s="74"/>
      <c r="B63" s="75"/>
      <c r="C63" s="76"/>
      <c r="D63" s="76"/>
      <c r="E63" s="77"/>
      <c r="F63" s="76"/>
      <c r="G63" s="77"/>
      <c r="H63" s="76"/>
      <c r="I63" s="77"/>
      <c r="J63" s="76"/>
      <c r="K63" s="76"/>
      <c r="L63" s="76"/>
      <c r="M63" s="76"/>
      <c r="N63" s="78"/>
      <c r="O63" s="78"/>
      <c r="P63" s="78"/>
      <c r="Q63" s="78"/>
      <c r="R63" s="78"/>
      <c r="S63" s="79"/>
    </row>
    <row r="64" spans="1:19" s="57" customFormat="1" ht="15" customHeight="1" x14ac:dyDescent="0.25">
      <c r="A64" s="74"/>
      <c r="B64" s="75"/>
      <c r="C64" s="76"/>
      <c r="D64" s="76"/>
      <c r="E64" s="77"/>
      <c r="F64" s="76"/>
      <c r="G64" s="77"/>
      <c r="H64" s="76"/>
      <c r="I64" s="77"/>
      <c r="J64" s="76"/>
      <c r="K64" s="76"/>
      <c r="L64" s="76"/>
      <c r="M64" s="76"/>
      <c r="N64" s="78"/>
      <c r="O64" s="78"/>
      <c r="P64" s="78"/>
      <c r="Q64" s="78"/>
      <c r="R64" s="78"/>
      <c r="S64" s="79"/>
    </row>
    <row r="65" spans="1:19" s="57" customFormat="1" ht="15" customHeight="1" x14ac:dyDescent="0.25">
      <c r="A65" s="74"/>
      <c r="B65" s="75"/>
      <c r="C65" s="76"/>
      <c r="D65" s="76"/>
      <c r="E65" s="77"/>
      <c r="F65" s="76"/>
      <c r="G65" s="77"/>
      <c r="H65" s="76"/>
      <c r="I65" s="77"/>
      <c r="J65" s="76"/>
      <c r="K65" s="76"/>
      <c r="L65" s="76"/>
      <c r="M65" s="76"/>
      <c r="N65" s="78"/>
      <c r="O65" s="78"/>
      <c r="P65" s="78"/>
      <c r="Q65" s="78"/>
      <c r="R65" s="78"/>
      <c r="S65" s="79"/>
    </row>
    <row r="66" spans="1:19" s="57" customFormat="1" ht="15" customHeight="1" x14ac:dyDescent="0.25">
      <c r="A66" s="74"/>
      <c r="B66" s="75"/>
      <c r="C66" s="76"/>
      <c r="D66" s="76"/>
      <c r="E66" s="77"/>
      <c r="F66" s="76"/>
      <c r="G66" s="77"/>
      <c r="H66" s="76"/>
      <c r="I66" s="77"/>
      <c r="J66" s="76"/>
      <c r="K66" s="76"/>
      <c r="L66" s="76"/>
      <c r="M66" s="76"/>
      <c r="N66" s="78"/>
      <c r="O66" s="78"/>
      <c r="P66" s="78"/>
      <c r="Q66" s="78"/>
      <c r="R66" s="78"/>
      <c r="S66" s="79"/>
    </row>
    <row r="67" spans="1:19" s="57" customFormat="1" ht="15" customHeight="1" x14ac:dyDescent="0.25">
      <c r="A67" s="74"/>
      <c r="B67" s="75"/>
      <c r="C67" s="76"/>
      <c r="D67" s="76"/>
      <c r="E67" s="77"/>
      <c r="F67" s="76"/>
      <c r="G67" s="77"/>
      <c r="H67" s="76"/>
      <c r="I67" s="77"/>
      <c r="J67" s="76"/>
      <c r="K67" s="76"/>
      <c r="L67" s="76"/>
      <c r="M67" s="76"/>
      <c r="N67" s="78"/>
      <c r="O67" s="78"/>
      <c r="P67" s="78"/>
      <c r="Q67" s="78"/>
      <c r="R67" s="78"/>
      <c r="S67" s="80">
        <f>thuclinh_bc</f>
        <v>165699292.71000001</v>
      </c>
    </row>
    <row r="68" spans="1:19" s="57" customFormat="1" ht="15" customHeight="1" x14ac:dyDescent="0.25">
      <c r="A68" s="74"/>
      <c r="B68" s="75"/>
      <c r="C68" s="76"/>
      <c r="D68" s="76"/>
      <c r="E68" s="77"/>
      <c r="F68" s="76"/>
      <c r="G68" s="77"/>
      <c r="H68" s="76"/>
      <c r="I68" s="77"/>
      <c r="J68" s="76"/>
      <c r="K68" s="76"/>
      <c r="L68" s="76"/>
      <c r="M68" s="76"/>
      <c r="N68" s="78"/>
      <c r="O68" s="78"/>
      <c r="P68" s="78"/>
      <c r="Q68" s="78"/>
      <c r="R68" s="78"/>
      <c r="S68" s="80">
        <f>thuclinh_dh</f>
        <v>0</v>
      </c>
    </row>
    <row r="69" spans="1:19" s="57" customFormat="1" ht="15" customHeight="1" x14ac:dyDescent="0.25">
      <c r="A69" s="74"/>
      <c r="B69" s="75"/>
      <c r="C69" s="76"/>
      <c r="D69" s="76"/>
      <c r="E69" s="77"/>
      <c r="F69" s="76"/>
      <c r="G69" s="77"/>
      <c r="H69" s="76"/>
      <c r="I69" s="77"/>
      <c r="J69" s="76"/>
      <c r="K69" s="76"/>
      <c r="L69" s="76"/>
      <c r="M69" s="76"/>
      <c r="N69" s="78"/>
      <c r="O69" s="78"/>
      <c r="P69" s="78"/>
      <c r="Q69" s="78"/>
      <c r="R69" s="78"/>
      <c r="S69" s="80">
        <f>thuclinh_vv</f>
        <v>17094844.5</v>
      </c>
    </row>
    <row r="70" spans="1:19" s="57" customFormat="1" ht="15" customHeight="1" x14ac:dyDescent="0.25">
      <c r="A70" s="74"/>
      <c r="B70" s="75"/>
      <c r="C70" s="76"/>
      <c r="D70" s="76"/>
      <c r="E70" s="77"/>
      <c r="F70" s="76"/>
      <c r="G70" s="77"/>
      <c r="H70" s="76"/>
      <c r="I70" s="77"/>
      <c r="J70" s="76"/>
      <c r="K70" s="76"/>
      <c r="L70" s="76"/>
      <c r="M70" s="76"/>
      <c r="N70" s="78"/>
      <c r="O70" s="78"/>
      <c r="P70" s="78"/>
      <c r="Q70" s="78"/>
      <c r="R70" s="78"/>
      <c r="S70" s="80" t="e">
        <f>khoanviec_1</f>
        <v>#REF!</v>
      </c>
    </row>
    <row r="71" spans="1:19" s="57" customFormat="1" ht="15" customHeight="1" x14ac:dyDescent="0.25">
      <c r="A71" s="74"/>
      <c r="B71" s="75"/>
      <c r="C71" s="76"/>
      <c r="D71" s="76"/>
      <c r="E71" s="77"/>
      <c r="F71" s="76"/>
      <c r="G71" s="77"/>
      <c r="H71" s="76"/>
      <c r="I71" s="77"/>
      <c r="J71" s="76"/>
      <c r="K71" s="76"/>
      <c r="L71" s="76"/>
      <c r="M71" s="76"/>
      <c r="N71" s="78"/>
      <c r="O71" s="78"/>
      <c r="P71" s="78"/>
      <c r="Q71" s="78"/>
      <c r="R71" s="78"/>
      <c r="S71" s="80" t="e">
        <f>#REF!</f>
        <v>#REF!</v>
      </c>
    </row>
    <row r="72" spans="1:19" s="57" customFormat="1" ht="15" customHeight="1" x14ac:dyDescent="0.25">
      <c r="A72" s="74"/>
      <c r="B72" s="75"/>
      <c r="C72" s="76"/>
      <c r="D72" s="76"/>
      <c r="E72" s="77"/>
      <c r="F72" s="76"/>
      <c r="G72" s="77"/>
      <c r="H72" s="76"/>
      <c r="I72" s="77"/>
      <c r="J72" s="76"/>
      <c r="K72" s="76"/>
      <c r="L72" s="76"/>
      <c r="M72" s="76"/>
      <c r="N72" s="78"/>
      <c r="O72" s="78"/>
      <c r="P72" s="78"/>
      <c r="Q72" s="78"/>
      <c r="R72" s="78"/>
      <c r="S72" s="79">
        <f>'Tro cap 116'!K77</f>
        <v>0</v>
      </c>
    </row>
    <row r="73" spans="1:19" s="57" customFormat="1" ht="15" customHeight="1" x14ac:dyDescent="0.25">
      <c r="A73" s="74"/>
      <c r="B73" s="75"/>
      <c r="C73" s="76"/>
      <c r="D73" s="76"/>
      <c r="E73" s="77"/>
      <c r="F73" s="76"/>
      <c r="G73" s="77"/>
      <c r="H73" s="76"/>
      <c r="I73" s="77"/>
      <c r="J73" s="76"/>
      <c r="K73" s="76"/>
      <c r="L73" s="76"/>
      <c r="M73" s="76"/>
      <c r="N73" s="78"/>
      <c r="O73" s="78"/>
      <c r="P73" s="78"/>
      <c r="Q73" s="78"/>
      <c r="R73" s="78"/>
      <c r="S73" s="79">
        <f>thuclinh_mt</f>
        <v>0</v>
      </c>
    </row>
    <row r="74" spans="1:19" s="57" customFormat="1" ht="15" customHeight="1" x14ac:dyDescent="0.25">
      <c r="A74" s="74"/>
      <c r="B74" s="75"/>
      <c r="C74" s="76"/>
      <c r="D74" s="76"/>
      <c r="E74" s="77"/>
      <c r="F74" s="76"/>
      <c r="G74" s="77"/>
      <c r="H74" s="76"/>
      <c r="I74" s="77"/>
      <c r="J74" s="76"/>
      <c r="K74" s="76"/>
      <c r="L74" s="76"/>
      <c r="M74" s="76"/>
      <c r="N74" s="78"/>
      <c r="O74" s="78"/>
      <c r="P74" s="78"/>
      <c r="Q74" s="78"/>
      <c r="R74" s="78"/>
      <c r="S74" s="79">
        <v>1535000</v>
      </c>
    </row>
    <row r="75" spans="1:19" s="57" customFormat="1" ht="15" customHeight="1" x14ac:dyDescent="0.25">
      <c r="A75" s="74"/>
      <c r="B75" s="75"/>
      <c r="C75" s="76"/>
      <c r="D75" s="76"/>
      <c r="E75" s="77"/>
      <c r="F75" s="76"/>
      <c r="G75" s="77"/>
      <c r="H75" s="76"/>
      <c r="I75" s="77"/>
      <c r="J75" s="76"/>
      <c r="K75" s="76"/>
      <c r="L75" s="76"/>
      <c r="M75" s="76"/>
      <c r="N75" s="78"/>
      <c r="O75" s="78"/>
      <c r="P75" s="78"/>
      <c r="Q75" s="78"/>
      <c r="R75" s="78"/>
      <c r="S75" s="79">
        <v>575000</v>
      </c>
    </row>
    <row r="76" spans="1:19" s="57" customFormat="1" ht="15" customHeight="1" x14ac:dyDescent="0.25">
      <c r="A76" s="74"/>
      <c r="B76" s="75"/>
      <c r="C76" s="76"/>
      <c r="D76" s="76"/>
      <c r="E76" s="77"/>
      <c r="F76" s="76"/>
      <c r="G76" s="77"/>
      <c r="H76" s="76"/>
      <c r="I76" s="77"/>
      <c r="J76" s="76"/>
      <c r="K76" s="76"/>
      <c r="L76" s="76"/>
      <c r="M76" s="76"/>
      <c r="N76" s="78"/>
      <c r="O76" s="78"/>
      <c r="P76" s="78"/>
      <c r="Q76" s="78"/>
      <c r="R76" s="78"/>
      <c r="S76" s="79">
        <v>937440</v>
      </c>
    </row>
    <row r="77" spans="1:19" s="57" customFormat="1" ht="15" customHeight="1" x14ac:dyDescent="0.25">
      <c r="A77" s="74"/>
      <c r="B77" s="75"/>
      <c r="C77" s="76"/>
      <c r="D77" s="76"/>
      <c r="E77" s="77"/>
      <c r="F77" s="76"/>
      <c r="G77" s="77"/>
      <c r="H77" s="76"/>
      <c r="I77" s="77"/>
      <c r="J77" s="76"/>
      <c r="K77" s="76"/>
      <c r="L77" s="76"/>
      <c r="M77" s="76"/>
      <c r="N77" s="78"/>
      <c r="O77" s="78"/>
      <c r="P77" s="78"/>
      <c r="Q77" s="78"/>
      <c r="R77" s="78"/>
      <c r="S77" s="79"/>
    </row>
    <row r="78" spans="1:19" x14ac:dyDescent="0.25">
      <c r="R78" s="4"/>
      <c r="S78" s="4" t="e">
        <f>SUM(S67:S77)</f>
        <v>#REF!</v>
      </c>
    </row>
    <row r="79" spans="1:19" x14ac:dyDescent="0.25">
      <c r="R79" s="4"/>
      <c r="S79" s="4" t="e">
        <f>thuclinh-S78+SUM(S80:S98)</f>
        <v>#REF!</v>
      </c>
    </row>
    <row r="80" spans="1:19" x14ac:dyDescent="0.25">
      <c r="R80" s="4"/>
      <c r="S80" s="4"/>
    </row>
    <row r="81" spans="18:19" x14ac:dyDescent="0.25">
      <c r="R81" s="4"/>
      <c r="S81" s="4"/>
    </row>
    <row r="82" spans="18:19" x14ac:dyDescent="0.25">
      <c r="R82" s="4"/>
      <c r="S82" s="4"/>
    </row>
    <row r="83" spans="18:19" x14ac:dyDescent="0.25">
      <c r="R83" s="4"/>
      <c r="S83" s="65"/>
    </row>
    <row r="84" spans="18:19" x14ac:dyDescent="0.25">
      <c r="R84" s="66"/>
      <c r="S84" s="70"/>
    </row>
    <row r="85" spans="18:19" x14ac:dyDescent="0.25">
      <c r="R85" s="4"/>
      <c r="S85" s="69"/>
    </row>
    <row r="86" spans="18:19" x14ac:dyDescent="0.25">
      <c r="R86" s="4"/>
      <c r="S86" s="4"/>
    </row>
    <row r="87" spans="18:19" x14ac:dyDescent="0.25">
      <c r="R87" s="4"/>
      <c r="S87" s="68"/>
    </row>
    <row r="88" spans="18:19" x14ac:dyDescent="0.25">
      <c r="R88" s="4"/>
      <c r="S88" s="68"/>
    </row>
    <row r="89" spans="18:19" x14ac:dyDescent="0.25">
      <c r="R89" s="4"/>
      <c r="S89" s="4"/>
    </row>
  </sheetData>
  <mergeCells count="1">
    <mergeCell ref="B1:S1"/>
  </mergeCells>
  <phoneticPr fontId="3" type="noConversion"/>
  <pageMargins left="0.2" right="0.16" top="0.2" bottom="0.45" header="0.28999999999999998" footer="0.23"/>
  <pageSetup scale="9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</sheetPr>
  <dimension ref="A1:X50"/>
  <sheetViews>
    <sheetView workbookViewId="0">
      <pane ySplit="5" topLeftCell="A12" activePane="bottomLeft" state="frozen"/>
      <selection pane="bottomLeft" activeCell="R8" sqref="R8"/>
    </sheetView>
  </sheetViews>
  <sheetFormatPr defaultColWidth="9.109375" defaultRowHeight="13.2" x14ac:dyDescent="0.25"/>
  <cols>
    <col min="1" max="1" width="4.33203125" style="1" customWidth="1"/>
    <col min="2" max="2" width="16.5546875" style="1" customWidth="1"/>
    <col min="3" max="3" width="4.5546875" style="1" customWidth="1"/>
    <col min="4" max="4" width="5.33203125" style="1" customWidth="1"/>
    <col min="5" max="5" width="6.6640625" style="1" customWidth="1"/>
    <col min="6" max="6" width="4.88671875" style="1" customWidth="1"/>
    <col min="7" max="7" width="6.6640625" style="1" customWidth="1"/>
    <col min="8" max="8" width="5.109375" style="1" customWidth="1"/>
    <col min="9" max="9" width="7.33203125" style="1" customWidth="1"/>
    <col min="10" max="10" width="5" style="1" customWidth="1"/>
    <col min="11" max="11" width="7" style="1" customWidth="1"/>
    <col min="12" max="13" width="5" style="1" customWidth="1"/>
    <col min="14" max="14" width="10.6640625" style="1" customWidth="1"/>
    <col min="15" max="15" width="10.109375" style="1" customWidth="1"/>
    <col min="16" max="16" width="9" style="1" customWidth="1"/>
    <col min="17" max="17" width="9.109375" style="1"/>
    <col min="18" max="18" width="11.109375" style="1" customWidth="1"/>
    <col min="19" max="19" width="4.33203125" style="1" customWidth="1"/>
    <col min="20" max="20" width="9.109375" style="1"/>
    <col min="21" max="21" width="11.109375" style="1" bestFit="1" customWidth="1"/>
    <col min="22" max="22" width="12.88671875" style="1" bestFit="1" customWidth="1"/>
    <col min="23" max="16384" width="9.109375" style="1"/>
  </cols>
  <sheetData>
    <row r="1" spans="1:22" s="7" customFormat="1" ht="13.5" customHeight="1" x14ac:dyDescent="0.25">
      <c r="A1" s="252" t="s">
        <v>27</v>
      </c>
      <c r="B1" s="252"/>
      <c r="C1" s="252"/>
      <c r="D1" s="252"/>
      <c r="E1" s="252"/>
      <c r="F1" s="252"/>
      <c r="G1" s="252"/>
      <c r="H1" s="251" t="s">
        <v>29</v>
      </c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62"/>
    </row>
    <row r="2" spans="1:22" s="7" customFormat="1" ht="13.5" customHeight="1" x14ac:dyDescent="0.25">
      <c r="A2" s="252" t="s">
        <v>28</v>
      </c>
      <c r="B2" s="252"/>
      <c r="C2" s="252"/>
      <c r="D2" s="252"/>
      <c r="E2" s="252"/>
      <c r="F2" s="252"/>
      <c r="G2" s="252"/>
      <c r="H2" s="251" t="s">
        <v>30</v>
      </c>
      <c r="I2" s="251"/>
      <c r="J2" s="251"/>
      <c r="K2" s="251"/>
      <c r="L2" s="251"/>
      <c r="M2" s="251"/>
      <c r="N2" s="251"/>
      <c r="O2" s="251"/>
      <c r="P2" s="251"/>
      <c r="Q2" s="251"/>
      <c r="R2" s="251"/>
    </row>
    <row r="3" spans="1:22" s="7" customFormat="1" ht="21" customHeight="1" x14ac:dyDescent="0.3">
      <c r="A3" s="253" t="s">
        <v>105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</row>
    <row r="4" spans="1:22" s="7" customFormat="1" ht="21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</row>
    <row r="5" spans="1:22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246</v>
      </c>
      <c r="N5" s="44" t="s">
        <v>25</v>
      </c>
      <c r="O5" s="44" t="s">
        <v>355</v>
      </c>
      <c r="P5" s="44" t="s">
        <v>356</v>
      </c>
      <c r="Q5" s="44" t="s">
        <v>357</v>
      </c>
      <c r="R5" s="44" t="s">
        <v>26</v>
      </c>
      <c r="S5" s="44" t="s">
        <v>101</v>
      </c>
    </row>
    <row r="6" spans="1:22" s="57" customFormat="1" ht="15" customHeight="1" x14ac:dyDescent="0.25">
      <c r="A6" s="58"/>
      <c r="B6" s="254" t="s">
        <v>234</v>
      </c>
      <c r="C6" s="254"/>
      <c r="D6" s="255"/>
      <c r="E6" s="54">
        <f t="shared" ref="E6:R6" si="0">SUM(E7:E9)</f>
        <v>15.4</v>
      </c>
      <c r="F6" s="54">
        <f t="shared" si="0"/>
        <v>2.2999999999999998</v>
      </c>
      <c r="G6" s="55">
        <f t="shared" si="0"/>
        <v>0.34860000000000008</v>
      </c>
      <c r="H6" s="54">
        <f t="shared" si="0"/>
        <v>0.60000000000000009</v>
      </c>
      <c r="I6" s="55">
        <f t="shared" si="0"/>
        <v>0.63</v>
      </c>
      <c r="J6" s="54">
        <f t="shared" si="0"/>
        <v>0</v>
      </c>
      <c r="K6" s="55">
        <f t="shared" si="0"/>
        <v>1.4000000000000001</v>
      </c>
      <c r="L6" s="54">
        <f t="shared" si="0"/>
        <v>0</v>
      </c>
      <c r="M6" s="54">
        <f t="shared" si="0"/>
        <v>0.70000000000000007</v>
      </c>
      <c r="N6" s="56">
        <f t="shared" si="0"/>
        <v>31854114</v>
      </c>
      <c r="O6" s="56">
        <f t="shared" si="0"/>
        <v>2226489.12</v>
      </c>
      <c r="P6" s="56">
        <f t="shared" si="0"/>
        <v>417466.71</v>
      </c>
      <c r="Q6" s="56">
        <f t="shared" si="0"/>
        <v>164624.14000000001</v>
      </c>
      <c r="R6" s="56">
        <f t="shared" si="0"/>
        <v>29045534.030000001</v>
      </c>
      <c r="S6" s="56"/>
    </row>
    <row r="7" spans="1:22" s="51" customFormat="1" ht="15" customHeight="1" x14ac:dyDescent="0.25">
      <c r="A7" s="46" t="s">
        <v>3</v>
      </c>
      <c r="B7" s="47" t="str">
        <f>VLOOKUP(mabienche,nhanvien,2,FALSE)</f>
        <v>Châu Văn Văn</v>
      </c>
      <c r="C7" s="47" t="str">
        <f>VLOOKUP(mabienche,nhanvien,7,FALSE)</f>
        <v>GĐ</v>
      </c>
      <c r="D7" s="47" t="str">
        <f>VLOOKUP(mabienche,nhanvien,4,FALSE)</f>
        <v>Bậc 06</v>
      </c>
      <c r="E7" s="48">
        <f>VLOOKUP(mabienche,nhanvien,5,FALSE)</f>
        <v>6.1</v>
      </c>
      <c r="F7" s="48">
        <f>VLOOKUP(mabienche,nhanvien,8,FALSE)</f>
        <v>0.9</v>
      </c>
      <c r="G7" s="49">
        <f>VLOOKUP(mabienche,nhanvien,11,FALSE)</f>
        <v>0</v>
      </c>
      <c r="H7" s="48">
        <f>VLOOKUP(manhanvien,nhanvien,14,FALSE)</f>
        <v>0.2</v>
      </c>
      <c r="I7" s="49">
        <f>VLOOKUP(mabienche,nhanvien,17,FALSE)</f>
        <v>0.63</v>
      </c>
      <c r="J7" s="48">
        <f>VLOOKUP(mabienche,nhanvien,20,FALSE)</f>
        <v>0</v>
      </c>
      <c r="K7" s="49">
        <f>VLOOKUP(mabienche,nhanvien,23,FALSE)</f>
        <v>1.4000000000000001</v>
      </c>
      <c r="L7" s="48">
        <f>VLOOKUP(mabienche,nhanvien,26,FALSE)</f>
        <v>0</v>
      </c>
      <c r="M7" s="48">
        <f>VLOOKUP(mabienche,nhanvien,32,FALSE)</f>
        <v>0.70000000000000007</v>
      </c>
      <c r="N7" s="50">
        <f>SUM(E7:M7)*luongcanban</f>
        <v>14795700</v>
      </c>
      <c r="O7" s="50">
        <f>(SUM(E7:G7)+I7)*luongcanban*bhxh_1</f>
        <v>909496</v>
      </c>
      <c r="P7" s="50">
        <f>(SUM(E7:G7)+I7)*luongcanban*bhyt_1</f>
        <v>170530.5</v>
      </c>
      <c r="Q7" s="50">
        <v>0</v>
      </c>
      <c r="R7" s="50">
        <f>N7-O7-P7-Q7</f>
        <v>13715673.5</v>
      </c>
      <c r="S7" s="50">
        <f>VLOOKUP(mabienche,nhanvien,39,FALSE)</f>
        <v>0</v>
      </c>
      <c r="U7" s="195">
        <f>(E7+I7+F7)</f>
        <v>7.63</v>
      </c>
      <c r="V7" s="207">
        <f>E7+F7+I7</f>
        <v>7.63</v>
      </c>
    </row>
    <row r="8" spans="1:22" s="51" customFormat="1" ht="15" customHeight="1" x14ac:dyDescent="0.25">
      <c r="A8" s="46" t="s">
        <v>4</v>
      </c>
      <c r="B8" s="47" t="str">
        <f>VLOOKUP(mabienche,nhanvien,2,FALSE)</f>
        <v>Huỳnh Hữu Phương</v>
      </c>
      <c r="C8" s="47" t="str">
        <f>VLOOKUP(mabienche,nhanvien,7,FALSE)</f>
        <v>PGĐ</v>
      </c>
      <c r="D8" s="47" t="str">
        <f>VLOOKUP(mabienche,nhanvien,4,FALSE)</f>
        <v>Bậc 09</v>
      </c>
      <c r="E8" s="48">
        <f>VLOOKUP(mabienche,nhanvien,5,FALSE)</f>
        <v>4.9800000000000004</v>
      </c>
      <c r="F8" s="48">
        <f>VLOOKUP(mabienche,nhanvien,8,FALSE)</f>
        <v>0.7</v>
      </c>
      <c r="G8" s="49">
        <f>VLOOKUP(mabienche,nhanvien,11,FALSE)</f>
        <v>0.34860000000000008</v>
      </c>
      <c r="H8" s="48">
        <f>VLOOKUP(manhanvien,nhanvien,14,FALSE)</f>
        <v>0.2</v>
      </c>
      <c r="I8" s="49">
        <f>VLOOKUP(mabienche,nhanvien,17,FALSE)</f>
        <v>0</v>
      </c>
      <c r="J8" s="48">
        <f>VLOOKUP(mabienche,nhanvien,20,FALSE)</f>
        <v>0</v>
      </c>
      <c r="K8" s="49">
        <f>VLOOKUP(mabienche,nhanvien,23,FALSE)</f>
        <v>0</v>
      </c>
      <c r="L8" s="48">
        <f>VLOOKUP(mabienche,nhanvien,26,FALSE)</f>
        <v>0</v>
      </c>
      <c r="M8" s="48">
        <f>VLOOKUP(mabienche,nhanvien,32,FALSE)</f>
        <v>0</v>
      </c>
      <c r="N8" s="50">
        <f>SUM(E8:M8)*luongcanban</f>
        <v>9280614.0000000019</v>
      </c>
      <c r="O8" s="50">
        <f>(SUM(E8:G8)+I8)*luongcanban*bhxh_1</f>
        <v>718609.12000000011</v>
      </c>
      <c r="P8" s="50">
        <f>(SUM(E8:G8)+I8)*luongcanban*bhyt_1</f>
        <v>134739.21000000002</v>
      </c>
      <c r="Q8" s="50">
        <f>(SUM(E8:G8)+I8)*luongcanban*bhtn_1</f>
        <v>89826.140000000014</v>
      </c>
      <c r="R8" s="50">
        <f>N8-O8-P8-Q8</f>
        <v>8337439.5300000021</v>
      </c>
      <c r="S8" s="50">
        <f>VLOOKUP(mabienche,nhanvien,39,FALSE)</f>
        <v>0</v>
      </c>
      <c r="V8" s="85">
        <f>V7*1390000</f>
        <v>10605700</v>
      </c>
    </row>
    <row r="9" spans="1:22" s="51" customFormat="1" ht="15" customHeight="1" x14ac:dyDescent="0.25">
      <c r="A9" s="46" t="s">
        <v>5</v>
      </c>
      <c r="B9" s="47" t="str">
        <f>VLOOKUP(mabienche,nhanvien,2,FALSE)</f>
        <v>Tạ Ngọc Dân</v>
      </c>
      <c r="C9" s="47" t="str">
        <f>VLOOKUP(mabienche,nhanvien,7,FALSE)</f>
        <v>PGĐ</v>
      </c>
      <c r="D9" s="47" t="str">
        <f>VLOOKUP(mabienche,nhanvien,4,FALSE)</f>
        <v>Bậc 07</v>
      </c>
      <c r="E9" s="48">
        <f>VLOOKUP(mabienche,nhanvien,5,FALSE)</f>
        <v>4.32</v>
      </c>
      <c r="F9" s="48">
        <f>VLOOKUP(mabienche,nhanvien,8,FALSE)</f>
        <v>0.7</v>
      </c>
      <c r="G9" s="49">
        <f>VLOOKUP(mabienche,nhanvien,11,FALSE)</f>
        <v>0</v>
      </c>
      <c r="H9" s="48">
        <f>VLOOKUP(manhanvien,nhanvien,14,FALSE)</f>
        <v>0.2</v>
      </c>
      <c r="I9" s="49">
        <f>VLOOKUP(mabienche,nhanvien,17,FALSE)</f>
        <v>0</v>
      </c>
      <c r="J9" s="48">
        <f>VLOOKUP(mabienche,nhanvien,20,FALSE)</f>
        <v>0</v>
      </c>
      <c r="K9" s="49">
        <f>VLOOKUP(mabienche,nhanvien,23,FALSE)</f>
        <v>0</v>
      </c>
      <c r="L9" s="48">
        <f>VLOOKUP(mabienche,nhanvien,26,FALSE)</f>
        <v>0</v>
      </c>
      <c r="M9" s="48">
        <f>VLOOKUP(mabienche,nhanvien,32,FALSE)</f>
        <v>0</v>
      </c>
      <c r="N9" s="50">
        <f>SUM(E9:M9)*luongcanban</f>
        <v>7777800.0000000009</v>
      </c>
      <c r="O9" s="50">
        <f>(SUM(E9:G9)+I9)*luongcanban*bhxh_1</f>
        <v>598384.00000000012</v>
      </c>
      <c r="P9" s="50">
        <f>(SUM(E9:G9)+I9)*luongcanban*bhyt_1</f>
        <v>112197.00000000001</v>
      </c>
      <c r="Q9" s="50">
        <f>(SUM(E9:G9)+I9)*luongcanban*bhtn_1</f>
        <v>74798.000000000015</v>
      </c>
      <c r="R9" s="50">
        <f>N9-O9-P9-Q9</f>
        <v>6992421.0000000009</v>
      </c>
      <c r="S9" s="50">
        <f>VLOOKUP(mabienche,nhanvien,39,FALSE)</f>
        <v>0</v>
      </c>
      <c r="U9" s="99">
        <f>O6-1886747</f>
        <v>339742.12000000011</v>
      </c>
      <c r="V9" s="85">
        <f>V8*1%</f>
        <v>106057</v>
      </c>
    </row>
    <row r="10" spans="1:22" s="57" customFormat="1" ht="15" customHeight="1" x14ac:dyDescent="0.25">
      <c r="A10" s="58"/>
      <c r="B10" s="254" t="s">
        <v>235</v>
      </c>
      <c r="C10" s="254"/>
      <c r="D10" s="255"/>
      <c r="E10" s="54">
        <f t="shared" ref="E10:R10" si="1">SUM(E11:E13)</f>
        <v>10.98</v>
      </c>
      <c r="F10" s="54">
        <f t="shared" si="1"/>
        <v>0.8</v>
      </c>
      <c r="G10" s="55">
        <f t="shared" si="1"/>
        <v>0</v>
      </c>
      <c r="H10" s="54">
        <f t="shared" si="1"/>
        <v>0.60000000000000009</v>
      </c>
      <c r="I10" s="55">
        <f t="shared" si="1"/>
        <v>0</v>
      </c>
      <c r="J10" s="54">
        <f t="shared" si="1"/>
        <v>0</v>
      </c>
      <c r="K10" s="55">
        <f t="shared" si="1"/>
        <v>0</v>
      </c>
      <c r="L10" s="54">
        <f t="shared" si="1"/>
        <v>0.2</v>
      </c>
      <c r="M10" s="54">
        <f t="shared" si="1"/>
        <v>0</v>
      </c>
      <c r="N10" s="56">
        <f t="shared" si="1"/>
        <v>18744200</v>
      </c>
      <c r="O10" s="56">
        <f t="shared" si="1"/>
        <v>1404176</v>
      </c>
      <c r="P10" s="56">
        <f t="shared" si="1"/>
        <v>263283</v>
      </c>
      <c r="Q10" s="56">
        <f t="shared" si="1"/>
        <v>175522</v>
      </c>
      <c r="R10" s="56">
        <f t="shared" si="1"/>
        <v>16901219</v>
      </c>
      <c r="S10" s="56"/>
    </row>
    <row r="11" spans="1:22" s="51" customFormat="1" ht="15" customHeight="1" x14ac:dyDescent="0.25">
      <c r="A11" s="46" t="s">
        <v>6</v>
      </c>
      <c r="B11" s="47" t="str">
        <f>VLOOKUP(mabienche,nhanvien,2,FALSE)</f>
        <v>Nguyễn Văn Cường</v>
      </c>
      <c r="C11" s="47" t="str">
        <f>VLOOKUP(mabienche,nhanvien,7,FALSE)</f>
        <v>TP</v>
      </c>
      <c r="D11" s="47" t="str">
        <f>VLOOKUP(mabienche,nhanvien,4,FALSE)</f>
        <v>Bậc 06</v>
      </c>
      <c r="E11" s="48">
        <f>VLOOKUP(mabienche,nhanvien,5,FALSE)</f>
        <v>3.99</v>
      </c>
      <c r="F11" s="48">
        <f>VLOOKUP(mabienche,nhanvien,8,FALSE)</f>
        <v>0.5</v>
      </c>
      <c r="G11" s="49">
        <f>VLOOKUP(mabienche,nhanvien,11,FALSE)</f>
        <v>0</v>
      </c>
      <c r="H11" s="48">
        <f>VLOOKUP(manhanvien,nhanvien,14,FALSE)</f>
        <v>0.2</v>
      </c>
      <c r="I11" s="49">
        <f>VLOOKUP(mabienche,nhanvien,17,FALSE)</f>
        <v>0</v>
      </c>
      <c r="J11" s="48">
        <f>VLOOKUP(mabienche,nhanvien,20,FALSE)</f>
        <v>0</v>
      </c>
      <c r="K11" s="49">
        <f>VLOOKUP(mabienche,nhanvien,23,FALSE)</f>
        <v>0</v>
      </c>
      <c r="L11" s="48">
        <f>VLOOKUP(mabienche,nhanvien,26,FALSE)</f>
        <v>0.1</v>
      </c>
      <c r="M11" s="48">
        <f>VLOOKUP(mabienche,nhanvien,32,FALSE)</f>
        <v>0</v>
      </c>
      <c r="N11" s="50">
        <f>SUM(E11:M11)*luongcanban</f>
        <v>7137100</v>
      </c>
      <c r="O11" s="50">
        <f>(SUM(E11:G11)+I11)*luongcanban*bhxh_1</f>
        <v>535208</v>
      </c>
      <c r="P11" s="50">
        <f>(SUM(E11:G11)+I11)*luongcanban*bhyt_1</f>
        <v>100351.5</v>
      </c>
      <c r="Q11" s="50">
        <f>(SUM(E11:G11)+I11)*luongcanban*bhtn_1</f>
        <v>66901</v>
      </c>
      <c r="R11" s="50">
        <f>N11-O11-P11-Q11</f>
        <v>6434639.5</v>
      </c>
      <c r="S11" s="50">
        <f>VLOOKUP(mabienche,nhanvien,39,FALSE)</f>
        <v>0</v>
      </c>
    </row>
    <row r="12" spans="1:22" s="51" customFormat="1" ht="15" customHeight="1" x14ac:dyDescent="0.25">
      <c r="A12" s="46" t="s">
        <v>7</v>
      </c>
      <c r="B12" s="47" t="str">
        <f>VLOOKUP(mabienche,nhanvien,2,FALSE)</f>
        <v>Trần Văn Lành</v>
      </c>
      <c r="C12" s="47" t="str">
        <f>VLOOKUP(mabienche,nhanvien,7,FALSE)</f>
        <v>P.TP</v>
      </c>
      <c r="D12" s="47" t="str">
        <f>VLOOKUP(mabienche,nhanvien,4,FALSE)</f>
        <v>Bậc 04</v>
      </c>
      <c r="E12" s="48">
        <f>VLOOKUP(mabienche,nhanvien,5,FALSE)</f>
        <v>3.33</v>
      </c>
      <c r="F12" s="48">
        <f>VLOOKUP(mabienche,nhanvien,8,FALSE)</f>
        <v>0.3</v>
      </c>
      <c r="G12" s="49">
        <f>VLOOKUP(mabienche,nhanvien,11,FALSE)</f>
        <v>0</v>
      </c>
      <c r="H12" s="48">
        <f>VLOOKUP(manhanvien,nhanvien,14,FALSE)</f>
        <v>0.2</v>
      </c>
      <c r="I12" s="49">
        <f>VLOOKUP(mabienche,nhanvien,17,FALSE)</f>
        <v>0</v>
      </c>
      <c r="J12" s="48">
        <f>VLOOKUP(mabienche,nhanvien,20,FALSE)</f>
        <v>0</v>
      </c>
      <c r="K12" s="49">
        <f>VLOOKUP(mabienche,nhanvien,23,FALSE)</f>
        <v>0</v>
      </c>
      <c r="L12" s="48">
        <f>VLOOKUP(mabienche,nhanvien,26,FALSE)</f>
        <v>0</v>
      </c>
      <c r="M12" s="48">
        <f>VLOOKUP(mabienche,nhanvien,32,FALSE)</f>
        <v>0</v>
      </c>
      <c r="N12" s="50">
        <f>SUM(E12:M12)*luongcanban</f>
        <v>5706700</v>
      </c>
      <c r="O12" s="50">
        <f>(SUM(E12:G12)+I12)*luongcanban*bhxh_1</f>
        <v>432696</v>
      </c>
      <c r="P12" s="50">
        <f>(SUM(E12:G12)+I12)*luongcanban*bhyt_1</f>
        <v>81130.5</v>
      </c>
      <c r="Q12" s="50">
        <f>(SUM(E12:G12)+I12)*luongcanban*bhtn_1</f>
        <v>54087</v>
      </c>
      <c r="R12" s="50">
        <f>N12-O12-P12-Q12</f>
        <v>5138786.5</v>
      </c>
      <c r="S12" s="50">
        <f>VLOOKUP(mabienche,nhanvien,39,FALSE)</f>
        <v>0</v>
      </c>
    </row>
    <row r="13" spans="1:22" s="51" customFormat="1" ht="15" customHeight="1" x14ac:dyDescent="0.25">
      <c r="A13" s="46" t="s">
        <v>8</v>
      </c>
      <c r="B13" s="47" t="str">
        <f>VLOOKUP(mabienche,nhanvien,2,FALSE)</f>
        <v>Nguyễn Thị Thanh</v>
      </c>
      <c r="C13" s="47" t="str">
        <f>VLOOKUP(mabienche,nhanvien,7,FALSE)</f>
        <v>TQ</v>
      </c>
      <c r="D13" s="47" t="str">
        <f>VLOOKUP(mabienche,nhanvien,4,FALSE)</f>
        <v>Bậc 10</v>
      </c>
      <c r="E13" s="48">
        <f>VLOOKUP(mabienche,nhanvien,5,FALSE)</f>
        <v>3.66</v>
      </c>
      <c r="F13" s="48">
        <f>VLOOKUP(mabienche,nhanvien,8,FALSE)</f>
        <v>0</v>
      </c>
      <c r="G13" s="49">
        <f>VLOOKUP(mabienche,nhanvien,11,FALSE)</f>
        <v>0</v>
      </c>
      <c r="H13" s="48">
        <f>VLOOKUP(manhanvien,nhanvien,14,FALSE)</f>
        <v>0.2</v>
      </c>
      <c r="I13" s="49">
        <f>VLOOKUP(mabienche,nhanvien,17,FALSE)</f>
        <v>0</v>
      </c>
      <c r="J13" s="48">
        <f>VLOOKUP(mabienche,nhanvien,20,FALSE)</f>
        <v>0</v>
      </c>
      <c r="K13" s="49">
        <f>VLOOKUP(mabienche,nhanvien,23,FALSE)</f>
        <v>0</v>
      </c>
      <c r="L13" s="48">
        <f>VLOOKUP(mabienche,nhanvien,26,FALSE)</f>
        <v>0.1</v>
      </c>
      <c r="M13" s="48">
        <f>VLOOKUP(mabienche,nhanvien,32,FALSE)</f>
        <v>0</v>
      </c>
      <c r="N13" s="50">
        <f>SUM(E13:M13)*luongcanban</f>
        <v>5900400.0000000009</v>
      </c>
      <c r="O13" s="50">
        <f>(SUM(E13:G13)+I13)*luongcanban*bhxh_1</f>
        <v>436272</v>
      </c>
      <c r="P13" s="50">
        <f>(SUM(E13:G13)+I13)*luongcanban*bhyt_1</f>
        <v>81801</v>
      </c>
      <c r="Q13" s="50">
        <f>(SUM(E13:G13)+I13)*luongcanban*bhtn_1</f>
        <v>54534</v>
      </c>
      <c r="R13" s="50">
        <f>N13-O13-P13-Q13</f>
        <v>5327793.0000000009</v>
      </c>
      <c r="S13" s="50">
        <f>VLOOKUP(mabienche,nhanvien,39,FALSE)</f>
        <v>0</v>
      </c>
    </row>
    <row r="14" spans="1:22" s="57" customFormat="1" ht="15" customHeight="1" x14ac:dyDescent="0.25">
      <c r="A14" s="58"/>
      <c r="B14" s="254" t="s">
        <v>237</v>
      </c>
      <c r="C14" s="254"/>
      <c r="D14" s="255"/>
      <c r="E14" s="54">
        <f t="shared" ref="E14:Q14" si="2">SUM(E15:E19)</f>
        <v>16.98</v>
      </c>
      <c r="F14" s="54">
        <f t="shared" si="2"/>
        <v>0.8</v>
      </c>
      <c r="G14" s="54">
        <f t="shared" si="2"/>
        <v>0</v>
      </c>
      <c r="H14" s="54">
        <f t="shared" si="2"/>
        <v>1</v>
      </c>
      <c r="I14" s="55">
        <f t="shared" si="2"/>
        <v>0</v>
      </c>
      <c r="J14" s="54">
        <f t="shared" si="2"/>
        <v>0</v>
      </c>
      <c r="K14" s="55">
        <f t="shared" si="2"/>
        <v>0</v>
      </c>
      <c r="L14" s="54">
        <f t="shared" si="2"/>
        <v>0</v>
      </c>
      <c r="M14" s="54">
        <f t="shared" si="2"/>
        <v>0</v>
      </c>
      <c r="N14" s="56">
        <f t="shared" si="2"/>
        <v>27982200</v>
      </c>
      <c r="O14" s="56">
        <f t="shared" si="2"/>
        <v>2119376</v>
      </c>
      <c r="P14" s="56">
        <f t="shared" si="2"/>
        <v>397383</v>
      </c>
      <c r="Q14" s="56">
        <f t="shared" si="2"/>
        <v>264922</v>
      </c>
      <c r="R14" s="56">
        <f>SUM(R15:R19)</f>
        <v>25200519</v>
      </c>
      <c r="S14" s="56"/>
    </row>
    <row r="15" spans="1:22" s="51" customFormat="1" ht="15" customHeight="1" x14ac:dyDescent="0.25">
      <c r="A15" s="46" t="s">
        <v>9</v>
      </c>
      <c r="B15" s="47" t="str">
        <f>VLOOKUP(mabienche,nhanvien,2,FALSE)</f>
        <v>Nguyễn Long Điền</v>
      </c>
      <c r="C15" s="47" t="str">
        <f>VLOOKUP(mabienche,nhanvien,7,FALSE)</f>
        <v>TP</v>
      </c>
      <c r="D15" s="47" t="str">
        <f>VLOOKUP(mabienche,nhanvien,4,FALSE)</f>
        <v>Bậc 06</v>
      </c>
      <c r="E15" s="48">
        <f>VLOOKUP(mabienche,nhanvien,5,FALSE)</f>
        <v>3.99</v>
      </c>
      <c r="F15" s="48">
        <f>VLOOKUP(mabienche,nhanvien,8,FALSE)</f>
        <v>0.5</v>
      </c>
      <c r="G15" s="49">
        <f>VLOOKUP(mabienche,nhanvien,11,FALSE)</f>
        <v>0</v>
      </c>
      <c r="H15" s="48">
        <f>VLOOKUP(manhanvien,nhanvien,14,FALSE)</f>
        <v>0.2</v>
      </c>
      <c r="I15" s="49">
        <f>VLOOKUP(mabienche,nhanvien,17,FALSE)</f>
        <v>0</v>
      </c>
      <c r="J15" s="48">
        <f>VLOOKUP(mabienche,nhanvien,20,FALSE)</f>
        <v>0</v>
      </c>
      <c r="K15" s="49">
        <f>VLOOKUP(mabienche,nhanvien,23,FALSE)</f>
        <v>0</v>
      </c>
      <c r="L15" s="48">
        <f>VLOOKUP(mabienche,nhanvien,26,FALSE)</f>
        <v>0</v>
      </c>
      <c r="M15" s="48">
        <f>VLOOKUP(mabienche,nhanvien,32,FALSE)</f>
        <v>0</v>
      </c>
      <c r="N15" s="50">
        <f>SUM(E15:M15)*luongcanban</f>
        <v>6988100.0000000009</v>
      </c>
      <c r="O15" s="50">
        <f>(SUM(E15:G15)+I15)*luongcanban*bhxh_1</f>
        <v>535208</v>
      </c>
      <c r="P15" s="50">
        <f>(SUM(E15:G15)+I15)*luongcanban*bhyt_1</f>
        <v>100351.5</v>
      </c>
      <c r="Q15" s="50">
        <f>(SUM(E15:G15)+I15)*luongcanban*bhtn_1</f>
        <v>66901</v>
      </c>
      <c r="R15" s="50">
        <f>N15-O15-P15-Q15</f>
        <v>6285639.5000000009</v>
      </c>
      <c r="S15" s="50">
        <f>VLOOKUP(mabienche,nhanvien,39,FALSE)</f>
        <v>0</v>
      </c>
      <c r="U15" s="85"/>
    </row>
    <row r="16" spans="1:22" s="51" customFormat="1" ht="15" customHeight="1" x14ac:dyDescent="0.25">
      <c r="A16" s="46" t="s">
        <v>10</v>
      </c>
      <c r="B16" s="47" t="str">
        <f>VLOOKUP(mabienche,nhanvien,2,FALSE)</f>
        <v>Hồ Đắc Long</v>
      </c>
      <c r="C16" s="47" t="str">
        <f>VLOOKUP(mabienche,nhanvien,7,FALSE)</f>
        <v>P.TP</v>
      </c>
      <c r="D16" s="47" t="str">
        <f>VLOOKUP(mabienche,nhanvien,4,FALSE)</f>
        <v>Bậc 05</v>
      </c>
      <c r="E16" s="48">
        <f>VLOOKUP(mabienche,nhanvien,5,FALSE)</f>
        <v>3.66</v>
      </c>
      <c r="F16" s="48">
        <f>VLOOKUP(mabienche,nhanvien,8,FALSE)</f>
        <v>0.3</v>
      </c>
      <c r="G16" s="49">
        <f>VLOOKUP(mabienche,nhanvien,11,FALSE)</f>
        <v>0</v>
      </c>
      <c r="H16" s="48">
        <f>VLOOKUP(manhanvien,nhanvien,14,FALSE)</f>
        <v>0.2</v>
      </c>
      <c r="I16" s="49">
        <f>VLOOKUP(mabienche,nhanvien,17,FALSE)</f>
        <v>0</v>
      </c>
      <c r="J16" s="48">
        <f>VLOOKUP(mabienche,nhanvien,20,FALSE)</f>
        <v>0</v>
      </c>
      <c r="K16" s="49">
        <f>VLOOKUP(mabienche,nhanvien,23,FALSE)</f>
        <v>0</v>
      </c>
      <c r="L16" s="48">
        <f>VLOOKUP(mabienche,nhanvien,26,FALSE)</f>
        <v>0</v>
      </c>
      <c r="M16" s="48">
        <f>VLOOKUP(mabienche,nhanvien,32,FALSE)</f>
        <v>0</v>
      </c>
      <c r="N16" s="50">
        <f>SUM(E16:M16)*luongcanban</f>
        <v>6198400</v>
      </c>
      <c r="O16" s="50">
        <f>(SUM(E16:G16)+I16)*luongcanban*bhxh_1</f>
        <v>472032</v>
      </c>
      <c r="P16" s="50">
        <f>(SUM(E16:G16)+I16)*luongcanban*bhyt_1</f>
        <v>88506</v>
      </c>
      <c r="Q16" s="50">
        <f>(SUM(E16:G16)+I16)*luongcanban*bhtn_1</f>
        <v>59004</v>
      </c>
      <c r="R16" s="50">
        <f>N16-O16-P16-Q16</f>
        <v>5578858</v>
      </c>
      <c r="S16" s="50">
        <f>VLOOKUP(mabienche,nhanvien,39,FALSE)</f>
        <v>0</v>
      </c>
    </row>
    <row r="17" spans="1:21" s="51" customFormat="1" ht="15" customHeight="1" x14ac:dyDescent="0.25">
      <c r="A17" s="46" t="s">
        <v>11</v>
      </c>
      <c r="B17" s="47" t="str">
        <f>VLOOKUP(mabienche,nhanvien,2,FALSE)</f>
        <v>Hoàng Văn Hải</v>
      </c>
      <c r="C17" s="47" t="str">
        <f>VLOOKUP(mabienche,nhanvien,7,FALSE)</f>
        <v>NV</v>
      </c>
      <c r="D17" s="47" t="str">
        <f>VLOOKUP(mabienche,nhanvien,4,FALSE)</f>
        <v>Bậc 04</v>
      </c>
      <c r="E17" s="48">
        <f>VLOOKUP(mabienche,nhanvien,5,FALSE)</f>
        <v>3.33</v>
      </c>
      <c r="F17" s="48">
        <f>VLOOKUP(mabienche,nhanvien,8,FALSE)</f>
        <v>0</v>
      </c>
      <c r="G17" s="49">
        <f>VLOOKUP(mabienche,nhanvien,11,FALSE)</f>
        <v>0</v>
      </c>
      <c r="H17" s="48">
        <f>VLOOKUP(manhanvien,nhanvien,14,FALSE)</f>
        <v>0.2</v>
      </c>
      <c r="I17" s="49">
        <f>VLOOKUP(mabienche,nhanvien,17,FALSE)</f>
        <v>0</v>
      </c>
      <c r="J17" s="48">
        <f>VLOOKUP(mabienche,nhanvien,20,FALSE)</f>
        <v>0</v>
      </c>
      <c r="K17" s="49">
        <f>VLOOKUP(mabienche,nhanvien,23,FALSE)</f>
        <v>0</v>
      </c>
      <c r="L17" s="48">
        <f>VLOOKUP(mabienche,nhanvien,26,FALSE)</f>
        <v>0</v>
      </c>
      <c r="M17" s="48">
        <f>VLOOKUP(mabienche,nhanvien,32,FALSE)</f>
        <v>0</v>
      </c>
      <c r="N17" s="50">
        <f>SUM(E17:M17)*luongcanban</f>
        <v>5259700</v>
      </c>
      <c r="O17" s="50">
        <f>(SUM(E17:G17)+I17)*luongcanban*bhxh_1</f>
        <v>396936</v>
      </c>
      <c r="P17" s="50">
        <f>(SUM(E17:G17)+I17)*luongcanban*bhyt_1</f>
        <v>74425.5</v>
      </c>
      <c r="Q17" s="50">
        <f>(SUM(E17:G17)+I17)*luongcanban*bhtn_1</f>
        <v>49617</v>
      </c>
      <c r="R17" s="50">
        <f>N17-O17-P17-Q17</f>
        <v>4738721.5</v>
      </c>
      <c r="S17" s="50">
        <f>VLOOKUP(mabienche,nhanvien,39,FALSE)</f>
        <v>0</v>
      </c>
    </row>
    <row r="18" spans="1:21" s="51" customFormat="1" ht="15" customHeight="1" x14ac:dyDescent="0.25">
      <c r="A18" s="46" t="s">
        <v>12</v>
      </c>
      <c r="B18" s="47" t="str">
        <f>VLOOKUP(mabienche,nhanvien,2,FALSE)</f>
        <v>Nguyễn Thị Nhung</v>
      </c>
      <c r="C18" s="47" t="str">
        <f>VLOOKUP(mabienche,nhanvien,7,FALSE)</f>
        <v>NV</v>
      </c>
      <c r="D18" s="47" t="str">
        <f>VLOOKUP(mabienche,nhanvien,4,FALSE)</f>
        <v>Bậc 03</v>
      </c>
      <c r="E18" s="48">
        <f>VLOOKUP(mabienche,nhanvien,5,FALSE)</f>
        <v>3</v>
      </c>
      <c r="F18" s="48">
        <f>VLOOKUP(mabienche,nhanvien,8,FALSE)</f>
        <v>0</v>
      </c>
      <c r="G18" s="49">
        <f>VLOOKUP(mabienche,nhanvien,11,FALSE)</f>
        <v>0</v>
      </c>
      <c r="H18" s="48">
        <f>VLOOKUP(manhanvien,nhanvien,14,FALSE)</f>
        <v>0.2</v>
      </c>
      <c r="I18" s="49">
        <f>VLOOKUP(mabienche,nhanvien,17,FALSE)</f>
        <v>0</v>
      </c>
      <c r="J18" s="48">
        <f>VLOOKUP(mabienche,nhanvien,20,FALSE)</f>
        <v>0</v>
      </c>
      <c r="K18" s="49">
        <f>VLOOKUP(mabienche,nhanvien,23,FALSE)</f>
        <v>0</v>
      </c>
      <c r="L18" s="48">
        <f>VLOOKUP(mabienche,nhanvien,26,FALSE)</f>
        <v>0</v>
      </c>
      <c r="M18" s="48">
        <f>VLOOKUP(mabienche,nhanvien,32,FALSE)</f>
        <v>0</v>
      </c>
      <c r="N18" s="50">
        <f>SUM(E18:M18)*luongcanban</f>
        <v>4768000</v>
      </c>
      <c r="O18" s="50">
        <f>(SUM(E18:G18)+I18)*luongcanban*bhxh_1</f>
        <v>357600</v>
      </c>
      <c r="P18" s="50">
        <f>(SUM(E18:G18)+I18)*luongcanban*bhyt_1</f>
        <v>67050</v>
      </c>
      <c r="Q18" s="50">
        <f>(SUM(E18:G18)+I18)*luongcanban*bhtn_1</f>
        <v>44700</v>
      </c>
      <c r="R18" s="50">
        <f>N18-O18-P18-Q18</f>
        <v>4298650</v>
      </c>
      <c r="S18" s="50">
        <f>VLOOKUP(mabienche,nhanvien,39,FALSE)</f>
        <v>0</v>
      </c>
    </row>
    <row r="19" spans="1:21" s="51" customFormat="1" ht="15" customHeight="1" x14ac:dyDescent="0.25">
      <c r="A19" s="46" t="s">
        <v>13</v>
      </c>
      <c r="B19" s="47" t="str">
        <f>VLOOKUP(mabienche,nhanvien,2,FALSE)</f>
        <v>Tô Quang</v>
      </c>
      <c r="C19" s="47" t="str">
        <f>VLOOKUP(mabienche,nhanvien,7,FALSE)</f>
        <v>NV</v>
      </c>
      <c r="D19" s="47" t="str">
        <f>VLOOKUP(mabienche,nhanvien,4,FALSE)</f>
        <v>Bậc 03</v>
      </c>
      <c r="E19" s="48">
        <f>VLOOKUP(mabienche,nhanvien,5,FALSE)</f>
        <v>3</v>
      </c>
      <c r="F19" s="48">
        <f>VLOOKUP(mabienche,nhanvien,8,FALSE)</f>
        <v>0</v>
      </c>
      <c r="G19" s="49">
        <f>VLOOKUP(mabienche,nhanvien,11,FALSE)</f>
        <v>0</v>
      </c>
      <c r="H19" s="48">
        <f>VLOOKUP(manhanvien,nhanvien,14,FALSE)</f>
        <v>0.2</v>
      </c>
      <c r="I19" s="49">
        <f>VLOOKUP(mabienche,nhanvien,17,FALSE)</f>
        <v>0</v>
      </c>
      <c r="J19" s="48">
        <f>VLOOKUP(mabienche,nhanvien,20,FALSE)</f>
        <v>0</v>
      </c>
      <c r="K19" s="49">
        <f>VLOOKUP(mabienche,nhanvien,23,FALSE)</f>
        <v>0</v>
      </c>
      <c r="L19" s="48">
        <f>VLOOKUP(mabienche,nhanvien,26,FALSE)</f>
        <v>0</v>
      </c>
      <c r="M19" s="48">
        <f>VLOOKUP(mabienche,nhanvien,32,FALSE)</f>
        <v>0</v>
      </c>
      <c r="N19" s="50">
        <f>SUM(E19:M19)*luongcanban</f>
        <v>4768000</v>
      </c>
      <c r="O19" s="50">
        <f>(SUM(E19:G19)+I19)*luongcanban*bhxh_1</f>
        <v>357600</v>
      </c>
      <c r="P19" s="50">
        <f>(SUM(E19:G19)+I19)*luongcanban*bhyt_1</f>
        <v>67050</v>
      </c>
      <c r="Q19" s="50">
        <f>(SUM(E19:G19)+I19)*luongcanban*bhtn_1</f>
        <v>44700</v>
      </c>
      <c r="R19" s="50">
        <f>N19-O19-P19-Q19</f>
        <v>4298650</v>
      </c>
      <c r="S19" s="50">
        <f>VLOOKUP(mabienche,nhanvien,39,FALSE)</f>
        <v>0</v>
      </c>
    </row>
    <row r="20" spans="1:21" s="57" customFormat="1" ht="15" customHeight="1" x14ac:dyDescent="0.25">
      <c r="A20" s="58"/>
      <c r="B20" s="254" t="s">
        <v>236</v>
      </c>
      <c r="C20" s="254"/>
      <c r="D20" s="255"/>
      <c r="E20" s="54">
        <f t="shared" ref="E20:R20" si="3">SUM(E21:E22)</f>
        <v>6.66</v>
      </c>
      <c r="F20" s="54">
        <f t="shared" si="3"/>
        <v>0.3</v>
      </c>
      <c r="G20" s="54">
        <f t="shared" si="3"/>
        <v>0</v>
      </c>
      <c r="H20" s="54">
        <f t="shared" si="3"/>
        <v>0.4</v>
      </c>
      <c r="I20" s="54">
        <f t="shared" si="3"/>
        <v>0</v>
      </c>
      <c r="J20" s="54">
        <f t="shared" si="3"/>
        <v>0</v>
      </c>
      <c r="K20" s="54">
        <f t="shared" si="3"/>
        <v>0</v>
      </c>
      <c r="L20" s="54">
        <f t="shared" si="3"/>
        <v>0</v>
      </c>
      <c r="M20" s="54">
        <f t="shared" si="3"/>
        <v>0</v>
      </c>
      <c r="N20" s="108">
        <f t="shared" si="3"/>
        <v>10966400</v>
      </c>
      <c r="O20" s="108">
        <f t="shared" si="3"/>
        <v>829632</v>
      </c>
      <c r="P20" s="108">
        <f t="shared" si="3"/>
        <v>155556</v>
      </c>
      <c r="Q20" s="108">
        <f t="shared" si="3"/>
        <v>103704</v>
      </c>
      <c r="R20" s="108">
        <f t="shared" si="3"/>
        <v>9877508</v>
      </c>
      <c r="S20" s="56"/>
    </row>
    <row r="21" spans="1:21" s="51" customFormat="1" ht="15" customHeight="1" x14ac:dyDescent="0.25">
      <c r="A21" s="46" t="s">
        <v>14</v>
      </c>
      <c r="B21" s="47" t="str">
        <f>VLOOKUP(mabienche,nhanvien,2,FALSE)</f>
        <v>Nguyễn Xuân Hiếu</v>
      </c>
      <c r="C21" s="47" t="str">
        <f>VLOOKUP(mabienche,nhanvien,7,FALSE)</f>
        <v>P.TP</v>
      </c>
      <c r="D21" s="47" t="str">
        <f>VLOOKUP(mabienche,nhanvien,4,FALSE)</f>
        <v>Bậc 05</v>
      </c>
      <c r="E21" s="48">
        <f>VLOOKUP(mabienche,nhanvien,5,FALSE)</f>
        <v>3.66</v>
      </c>
      <c r="F21" s="48">
        <f>VLOOKUP(mabienche,nhanvien,8,FALSE)</f>
        <v>0.3</v>
      </c>
      <c r="G21" s="49">
        <f>VLOOKUP(mabienche,nhanvien,11,FALSE)</f>
        <v>0</v>
      </c>
      <c r="H21" s="48">
        <f>VLOOKUP(manhanvien,nhanvien,14,FALSE)</f>
        <v>0.2</v>
      </c>
      <c r="I21" s="49">
        <f>VLOOKUP(mabienche,nhanvien,17,FALSE)</f>
        <v>0</v>
      </c>
      <c r="J21" s="48">
        <f>VLOOKUP(mabienche,nhanvien,20,FALSE)</f>
        <v>0</v>
      </c>
      <c r="K21" s="49">
        <f>VLOOKUP(mabienche,nhanvien,23,FALSE)</f>
        <v>0</v>
      </c>
      <c r="L21" s="48">
        <f>VLOOKUP(mabienche,nhanvien,26,FALSE)</f>
        <v>0</v>
      </c>
      <c r="M21" s="48">
        <f>VLOOKUP(mabienche,nhanvien,32,FALSE)</f>
        <v>0</v>
      </c>
      <c r="N21" s="50">
        <f>SUM(E21:M21)*luongcanban</f>
        <v>6198400</v>
      </c>
      <c r="O21" s="50">
        <f>(SUM(E21:G21)+I21)*luongcanban*bhxh_1</f>
        <v>472032</v>
      </c>
      <c r="P21" s="50">
        <f>(SUM(E21:G21)+I21)*luongcanban*bhyt_1</f>
        <v>88506</v>
      </c>
      <c r="Q21" s="50">
        <f>(SUM(E21:G21)+I21)*luongcanban*bhtn_1</f>
        <v>59004</v>
      </c>
      <c r="R21" s="50">
        <f>N21-O21-P21-Q21</f>
        <v>5578858</v>
      </c>
      <c r="S21" s="50">
        <f>VLOOKUP(mabienche,nhanvien,39,FALSE)</f>
        <v>0</v>
      </c>
    </row>
    <row r="22" spans="1:21" s="94" customFormat="1" ht="15" customHeight="1" x14ac:dyDescent="0.25">
      <c r="A22" s="205" t="s">
        <v>32</v>
      </c>
      <c r="B22" s="95" t="str">
        <f>VLOOKUP(mabienche,nhanvien,2,FALSE)</f>
        <v>Nguyễn Thị Hằng</v>
      </c>
      <c r="C22" s="95" t="str">
        <f>VLOOKUP(mabienche,nhanvien,7,FALSE)</f>
        <v>NV</v>
      </c>
      <c r="D22" s="95" t="str">
        <f>VLOOKUP(mabienche,nhanvien,4,FALSE)</f>
        <v>Bậc 03</v>
      </c>
      <c r="E22" s="96">
        <f>VLOOKUP(mabienche,nhanvien,5,FALSE)</f>
        <v>3</v>
      </c>
      <c r="F22" s="96">
        <f>VLOOKUP(mabienche,nhanvien,8,FALSE)</f>
        <v>0</v>
      </c>
      <c r="G22" s="97">
        <f>VLOOKUP(mabienche,nhanvien,11,FALSE)</f>
        <v>0</v>
      </c>
      <c r="H22" s="96">
        <f>VLOOKUP(manhanvien,nhanvien,14,FALSE)</f>
        <v>0.2</v>
      </c>
      <c r="I22" s="97">
        <f>VLOOKUP(mabienche,nhanvien,17,FALSE)</f>
        <v>0</v>
      </c>
      <c r="J22" s="96">
        <f>VLOOKUP(mabienche,nhanvien,20,FALSE)</f>
        <v>0</v>
      </c>
      <c r="K22" s="97">
        <f>VLOOKUP(mabienche,nhanvien,23,FALSE)</f>
        <v>0</v>
      </c>
      <c r="L22" s="96">
        <f>VLOOKUP(mabienche,nhanvien,26,FALSE)</f>
        <v>0</v>
      </c>
      <c r="M22" s="96">
        <f>VLOOKUP(mabienche,nhanvien,32,FALSE)</f>
        <v>0</v>
      </c>
      <c r="N22" s="98">
        <f>SUM(E22:M22)*luongcanban</f>
        <v>4768000</v>
      </c>
      <c r="O22" s="98">
        <f>(SUM(E22:G22)+I22)*luongcanban*bhxh_1</f>
        <v>357600</v>
      </c>
      <c r="P22" s="98">
        <f>(SUM(E22:G22)+I22)*luongcanban*bhyt_1</f>
        <v>67050</v>
      </c>
      <c r="Q22" s="98">
        <f>(SUM(E22:G22)+I22)*luongcanban*bhtn_1</f>
        <v>44700</v>
      </c>
      <c r="R22" s="98">
        <f>N22-O22-P22-Q22</f>
        <v>4298650</v>
      </c>
      <c r="S22" s="98">
        <f>VLOOKUP(mabienche,nhanvien,39,FALSE)</f>
        <v>0</v>
      </c>
    </row>
    <row r="23" spans="1:21" s="57" customFormat="1" ht="15" customHeight="1" x14ac:dyDescent="0.25">
      <c r="A23" s="46"/>
      <c r="B23" s="254" t="s">
        <v>238</v>
      </c>
      <c r="C23" s="254"/>
      <c r="D23" s="255"/>
      <c r="E23" s="54">
        <f t="shared" ref="E23:R23" si="4">SUM(E24:E33)</f>
        <v>31.93</v>
      </c>
      <c r="F23" s="54">
        <f t="shared" si="4"/>
        <v>0.3</v>
      </c>
      <c r="G23" s="54">
        <f t="shared" si="4"/>
        <v>0</v>
      </c>
      <c r="H23" s="54">
        <f t="shared" si="4"/>
        <v>1.9999999999999998</v>
      </c>
      <c r="I23" s="54">
        <f t="shared" si="4"/>
        <v>3.5615999999999999</v>
      </c>
      <c r="J23" s="54">
        <f t="shared" si="4"/>
        <v>0.4</v>
      </c>
      <c r="K23" s="54">
        <f t="shared" si="4"/>
        <v>6.5259999999999998</v>
      </c>
      <c r="L23" s="54">
        <f t="shared" si="4"/>
        <v>0</v>
      </c>
      <c r="M23" s="54">
        <f t="shared" si="4"/>
        <v>0</v>
      </c>
      <c r="N23" s="108">
        <f t="shared" si="4"/>
        <v>66629224</v>
      </c>
      <c r="O23" s="108">
        <f t="shared" si="4"/>
        <v>4266358.72</v>
      </c>
      <c r="P23" s="108">
        <f t="shared" si="4"/>
        <v>799942.26</v>
      </c>
      <c r="Q23" s="108">
        <f t="shared" si="4"/>
        <v>533294.84</v>
      </c>
      <c r="R23" s="108">
        <f t="shared" si="4"/>
        <v>61029628.18</v>
      </c>
      <c r="S23" s="54">
        <f>SUM(S25:S33)</f>
        <v>0</v>
      </c>
    </row>
    <row r="24" spans="1:21" s="51" customFormat="1" ht="15" customHeight="1" x14ac:dyDescent="0.25">
      <c r="A24" s="46" t="s">
        <v>34</v>
      </c>
      <c r="B24" s="47" t="str">
        <f t="shared" ref="B24:B33" si="5">VLOOKUP(mabienche,nhanvien,2,FALSE)</f>
        <v>Nguyễn Xuân Phát</v>
      </c>
      <c r="C24" s="47" t="str">
        <f t="shared" ref="C24:C33" si="6">VLOOKUP(mabienche,nhanvien,7,FALSE)</f>
        <v>P.HT</v>
      </c>
      <c r="D24" s="47" t="str">
        <f t="shared" ref="D24:D33" si="7">VLOOKUP(mabienche,nhanvien,4,FALSE)</f>
        <v>Bậc 08</v>
      </c>
      <c r="E24" s="48">
        <f t="shared" ref="E24:E33" si="8">VLOOKUP(mabienche,nhanvien,5,FALSE)</f>
        <v>4.9800000000000004</v>
      </c>
      <c r="F24" s="48">
        <f t="shared" ref="F24:F33" si="9">VLOOKUP(mabienche,nhanvien,8,FALSE)</f>
        <v>0.3</v>
      </c>
      <c r="G24" s="49">
        <f t="shared" ref="G24:G33" si="10">VLOOKUP(mabienche,nhanvien,11,FALSE)</f>
        <v>0</v>
      </c>
      <c r="H24" s="48">
        <f t="shared" ref="H24:H33" si="11">VLOOKUP(manhanvien,nhanvien,14,FALSE)</f>
        <v>0.2</v>
      </c>
      <c r="I24" s="49">
        <f>VLOOKUP(mabienche,nhanvien,17,FALSE)</f>
        <v>1.2672000000000001</v>
      </c>
      <c r="J24" s="48">
        <f t="shared" ref="J24:J33" si="12">VLOOKUP(mabienche,nhanvien,20,FALSE)</f>
        <v>0</v>
      </c>
      <c r="K24" s="49">
        <f t="shared" ref="K24:K33" si="13">VLOOKUP(mabienche,nhanvien,23,FALSE)</f>
        <v>1.056</v>
      </c>
      <c r="L24" s="48">
        <f t="shared" ref="L24:L33" si="14">VLOOKUP(mabienche,nhanvien,26,FALSE)</f>
        <v>0</v>
      </c>
      <c r="M24" s="48">
        <f t="shared" ref="M24:M33" si="15">VLOOKUP(mabienche,nhanvien,32,FALSE)</f>
        <v>0</v>
      </c>
      <c r="N24" s="50">
        <f>SUM(E24:M24)*luongcanban</f>
        <v>11626768</v>
      </c>
      <c r="O24" s="50">
        <f>(SUM(E24:G24)+I24)*luongcanban*bhxh_1</f>
        <v>780426.23999999999</v>
      </c>
      <c r="P24" s="50">
        <f>(SUM(E24:G24)+I24)*luongcanban*bhyt_1</f>
        <v>146329.91999999998</v>
      </c>
      <c r="Q24" s="50">
        <f>(SUM(E24:G24)+I24)*luongcanban*bhtn_1</f>
        <v>97553.279999999999</v>
      </c>
      <c r="R24" s="50">
        <f>N24-O24-P24-Q24</f>
        <v>10602458.560000001</v>
      </c>
      <c r="S24" s="50">
        <f t="shared" ref="S24:S33" si="16">VLOOKUP(mabienche,nhanvien,39,FALSE)</f>
        <v>0</v>
      </c>
      <c r="U24" s="85"/>
    </row>
    <row r="25" spans="1:21" s="51" customFormat="1" ht="15" customHeight="1" x14ac:dyDescent="0.25">
      <c r="A25" s="46" t="s">
        <v>35</v>
      </c>
      <c r="B25" s="47" t="str">
        <f t="shared" si="5"/>
        <v>Lê Thanh Trị</v>
      </c>
      <c r="C25" s="47" t="str">
        <f t="shared" si="6"/>
        <v>NV</v>
      </c>
      <c r="D25" s="47" t="str">
        <f t="shared" si="7"/>
        <v>Bậc 12</v>
      </c>
      <c r="E25" s="48">
        <f t="shared" si="8"/>
        <v>4.0599999999999996</v>
      </c>
      <c r="F25" s="48">
        <f t="shared" si="9"/>
        <v>0</v>
      </c>
      <c r="G25" s="49">
        <f t="shared" si="10"/>
        <v>0</v>
      </c>
      <c r="H25" s="48">
        <f t="shared" si="11"/>
        <v>0.2</v>
      </c>
      <c r="I25" s="49">
        <f>VLOOKUP(mabienche,nhanvien,17,FALSE)</f>
        <v>0.97439999999999982</v>
      </c>
      <c r="J25" s="48">
        <f t="shared" si="12"/>
        <v>0</v>
      </c>
      <c r="K25" s="49">
        <f t="shared" si="13"/>
        <v>0.81199999999999994</v>
      </c>
      <c r="L25" s="48">
        <f t="shared" si="14"/>
        <v>0</v>
      </c>
      <c r="M25" s="48">
        <f t="shared" si="15"/>
        <v>0</v>
      </c>
      <c r="N25" s="50">
        <f t="shared" ref="N25:N30" si="17">SUM(E25:M25)*luongcanban</f>
        <v>9009136</v>
      </c>
      <c r="O25" s="50">
        <f t="shared" ref="O25:O30" si="18">(SUM(E25:G25)+I25)*luongcanban*bhxh_1</f>
        <v>600100.48</v>
      </c>
      <c r="P25" s="50">
        <f t="shared" ref="P25:P30" si="19">(SUM(E25:G25)+I25)*luongcanban*bhyt_1</f>
        <v>112518.84</v>
      </c>
      <c r="Q25" s="50">
        <f t="shared" ref="Q25:Q30" si="20">(SUM(E25:G25)+I25)*luongcanban*bhtn_1</f>
        <v>75012.56</v>
      </c>
      <c r="R25" s="50">
        <f t="shared" ref="R25:R33" si="21">N25-O25-P25-Q25</f>
        <v>8221504.1200000001</v>
      </c>
      <c r="S25" s="50">
        <f t="shared" si="16"/>
        <v>0</v>
      </c>
      <c r="U25" s="85"/>
    </row>
    <row r="26" spans="1:21" s="51" customFormat="1" ht="15" customHeight="1" x14ac:dyDescent="0.25">
      <c r="A26" s="46" t="s">
        <v>36</v>
      </c>
      <c r="B26" s="47" t="str">
        <f t="shared" si="5"/>
        <v>Trần Văn Lực</v>
      </c>
      <c r="C26" s="47" t="str">
        <f t="shared" si="6"/>
        <v>NV</v>
      </c>
      <c r="D26" s="47" t="str">
        <f t="shared" si="7"/>
        <v>Bậc 08</v>
      </c>
      <c r="E26" s="48">
        <f t="shared" si="8"/>
        <v>3.26</v>
      </c>
      <c r="F26" s="48">
        <f t="shared" si="9"/>
        <v>0</v>
      </c>
      <c r="G26" s="49">
        <f t="shared" si="10"/>
        <v>0</v>
      </c>
      <c r="H26" s="48">
        <f t="shared" si="11"/>
        <v>0.2</v>
      </c>
      <c r="I26" s="49">
        <f t="shared" ref="I26:I33" si="22">VLOOKUP(mabienche,nhanvien,17,FALSE)</f>
        <v>0.52159999999999995</v>
      </c>
      <c r="J26" s="48">
        <f t="shared" si="12"/>
        <v>0.2</v>
      </c>
      <c r="K26" s="49">
        <f t="shared" si="13"/>
        <v>1.304</v>
      </c>
      <c r="L26" s="48">
        <f t="shared" si="14"/>
        <v>0</v>
      </c>
      <c r="M26" s="48">
        <f t="shared" si="15"/>
        <v>0</v>
      </c>
      <c r="N26" s="50">
        <f t="shared" si="17"/>
        <v>8173544</v>
      </c>
      <c r="O26" s="50">
        <f t="shared" si="18"/>
        <v>450766.71999999991</v>
      </c>
      <c r="P26" s="50">
        <f t="shared" si="19"/>
        <v>84518.75999999998</v>
      </c>
      <c r="Q26" s="50">
        <f t="shared" si="20"/>
        <v>56345.839999999989</v>
      </c>
      <c r="R26" s="50">
        <f t="shared" si="21"/>
        <v>7581912.6800000006</v>
      </c>
      <c r="S26" s="50">
        <f t="shared" si="16"/>
        <v>0</v>
      </c>
      <c r="U26" s="85"/>
    </row>
    <row r="27" spans="1:21" s="51" customFormat="1" ht="15" customHeight="1" x14ac:dyDescent="0.25">
      <c r="A27" s="46" t="s">
        <v>37</v>
      </c>
      <c r="B27" s="47" t="str">
        <f t="shared" si="5"/>
        <v>Phạm Kim Long</v>
      </c>
      <c r="C27" s="47" t="str">
        <f t="shared" si="6"/>
        <v>NV</v>
      </c>
      <c r="D27" s="47" t="str">
        <f t="shared" si="7"/>
        <v>Bậc 10</v>
      </c>
      <c r="E27" s="48">
        <f t="shared" si="8"/>
        <v>3.66</v>
      </c>
      <c r="F27" s="48">
        <f t="shared" si="9"/>
        <v>0</v>
      </c>
      <c r="G27" s="49">
        <f t="shared" si="10"/>
        <v>0</v>
      </c>
      <c r="H27" s="48">
        <f t="shared" si="11"/>
        <v>0.2</v>
      </c>
      <c r="I27" s="49">
        <f t="shared" si="22"/>
        <v>0.58560000000000001</v>
      </c>
      <c r="J27" s="48">
        <f t="shared" si="12"/>
        <v>0</v>
      </c>
      <c r="K27" s="49">
        <f t="shared" si="13"/>
        <v>0.7320000000000001</v>
      </c>
      <c r="L27" s="48">
        <f t="shared" si="14"/>
        <v>0</v>
      </c>
      <c r="M27" s="48">
        <f t="shared" si="15"/>
        <v>0</v>
      </c>
      <c r="N27" s="50">
        <f t="shared" si="17"/>
        <v>7714624.0000000009</v>
      </c>
      <c r="O27" s="50">
        <f t="shared" si="18"/>
        <v>506075.52000000008</v>
      </c>
      <c r="P27" s="50">
        <f t="shared" si="19"/>
        <v>94889.16</v>
      </c>
      <c r="Q27" s="50">
        <f t="shared" si="20"/>
        <v>63259.44000000001</v>
      </c>
      <c r="R27" s="50">
        <f t="shared" si="21"/>
        <v>7050399.8799999999</v>
      </c>
      <c r="S27" s="50">
        <f t="shared" si="16"/>
        <v>0</v>
      </c>
      <c r="U27" s="120"/>
    </row>
    <row r="28" spans="1:21" s="51" customFormat="1" ht="15" customHeight="1" x14ac:dyDescent="0.25">
      <c r="A28" s="46" t="s">
        <v>38</v>
      </c>
      <c r="B28" s="47" t="str">
        <f t="shared" si="5"/>
        <v>Nguyễn Văn Bình</v>
      </c>
      <c r="C28" s="47" t="str">
        <f t="shared" si="6"/>
        <v>NV</v>
      </c>
      <c r="D28" s="47" t="str">
        <f t="shared" si="7"/>
        <v>Bậc 05</v>
      </c>
      <c r="E28" s="48">
        <f t="shared" si="8"/>
        <v>2.66</v>
      </c>
      <c r="F28" s="48">
        <f t="shared" si="9"/>
        <v>0</v>
      </c>
      <c r="G28" s="49">
        <f t="shared" si="10"/>
        <v>0</v>
      </c>
      <c r="H28" s="48">
        <f t="shared" si="11"/>
        <v>0.2</v>
      </c>
      <c r="I28" s="49">
        <f t="shared" si="22"/>
        <v>0.21280000000000002</v>
      </c>
      <c r="J28" s="48">
        <f t="shared" si="12"/>
        <v>0.2</v>
      </c>
      <c r="K28" s="49">
        <f t="shared" si="13"/>
        <v>0.53200000000000003</v>
      </c>
      <c r="L28" s="48">
        <f t="shared" si="14"/>
        <v>0</v>
      </c>
      <c r="M28" s="48">
        <f t="shared" si="15"/>
        <v>0</v>
      </c>
      <c r="N28" s="50">
        <f t="shared" si="17"/>
        <v>5669152.0000000009</v>
      </c>
      <c r="O28" s="50">
        <f t="shared" si="18"/>
        <v>342437.76</v>
      </c>
      <c r="P28" s="50">
        <f t="shared" si="19"/>
        <v>64207.079999999994</v>
      </c>
      <c r="Q28" s="50">
        <f t="shared" si="20"/>
        <v>42804.72</v>
      </c>
      <c r="R28" s="50">
        <f t="shared" si="21"/>
        <v>5219702.4400000013</v>
      </c>
      <c r="S28" s="50">
        <f t="shared" si="16"/>
        <v>0</v>
      </c>
    </row>
    <row r="29" spans="1:21" s="51" customFormat="1" ht="15" customHeight="1" x14ac:dyDescent="0.25">
      <c r="A29" s="46" t="s">
        <v>40</v>
      </c>
      <c r="B29" s="47" t="str">
        <f t="shared" si="5"/>
        <v>Nguyễn Đức Toàn</v>
      </c>
      <c r="C29" s="47" t="str">
        <f t="shared" si="6"/>
        <v>NV</v>
      </c>
      <c r="D29" s="47" t="str">
        <f t="shared" si="7"/>
        <v>Bậc 05</v>
      </c>
      <c r="E29" s="48">
        <f t="shared" si="8"/>
        <v>2.66</v>
      </c>
      <c r="F29" s="48">
        <f t="shared" si="9"/>
        <v>0</v>
      </c>
      <c r="G29" s="49">
        <f t="shared" si="10"/>
        <v>0</v>
      </c>
      <c r="H29" s="48">
        <f t="shared" si="11"/>
        <v>0.2</v>
      </c>
      <c r="I29" s="49">
        <f t="shared" si="22"/>
        <v>0</v>
      </c>
      <c r="J29" s="48">
        <f t="shared" si="12"/>
        <v>0</v>
      </c>
      <c r="K29" s="49">
        <f t="shared" si="13"/>
        <v>0.53200000000000003</v>
      </c>
      <c r="L29" s="48">
        <f t="shared" si="14"/>
        <v>0</v>
      </c>
      <c r="M29" s="48">
        <f t="shared" si="15"/>
        <v>0</v>
      </c>
      <c r="N29" s="50">
        <f>SUM(E29:M29)*luongcanban</f>
        <v>5054080.0000000009</v>
      </c>
      <c r="O29" s="50">
        <f>(SUM(E29:G29)+I29)*luongcanban*bhxh_1</f>
        <v>317072</v>
      </c>
      <c r="P29" s="50">
        <f>(SUM(E29:G29)+I29)*luongcanban*bhyt_1</f>
        <v>59451</v>
      </c>
      <c r="Q29" s="50">
        <f>(SUM(E29:G29)+I29)*luongcanban*bhtn_1</f>
        <v>39634</v>
      </c>
      <c r="R29" s="50">
        <f t="shared" si="21"/>
        <v>4637923.0000000009</v>
      </c>
      <c r="S29" s="50">
        <f t="shared" si="16"/>
        <v>0</v>
      </c>
    </row>
    <row r="30" spans="1:21" s="51" customFormat="1" ht="15" customHeight="1" x14ac:dyDescent="0.25">
      <c r="A30" s="46" t="s">
        <v>41</v>
      </c>
      <c r="B30" s="47" t="str">
        <f t="shared" si="5"/>
        <v>Bùi Đông Phú</v>
      </c>
      <c r="C30" s="47" t="str">
        <f t="shared" si="6"/>
        <v>NV</v>
      </c>
      <c r="D30" s="47" t="str">
        <f t="shared" si="7"/>
        <v>Bậc 05</v>
      </c>
      <c r="E30" s="48">
        <f t="shared" si="8"/>
        <v>2.66</v>
      </c>
      <c r="F30" s="48">
        <f t="shared" si="9"/>
        <v>0</v>
      </c>
      <c r="G30" s="49">
        <f t="shared" si="10"/>
        <v>0</v>
      </c>
      <c r="H30" s="48">
        <f t="shared" si="11"/>
        <v>0.2</v>
      </c>
      <c r="I30" s="49">
        <f t="shared" si="22"/>
        <v>0</v>
      </c>
      <c r="J30" s="48">
        <f t="shared" si="12"/>
        <v>0</v>
      </c>
      <c r="K30" s="49">
        <f t="shared" si="13"/>
        <v>0.53200000000000003</v>
      </c>
      <c r="L30" s="48">
        <f t="shared" si="14"/>
        <v>0</v>
      </c>
      <c r="M30" s="48">
        <f t="shared" si="15"/>
        <v>0</v>
      </c>
      <c r="N30" s="50">
        <f t="shared" si="17"/>
        <v>5054080.0000000009</v>
      </c>
      <c r="O30" s="50">
        <f t="shared" si="18"/>
        <v>317072</v>
      </c>
      <c r="P30" s="50">
        <f t="shared" si="19"/>
        <v>59451</v>
      </c>
      <c r="Q30" s="50">
        <f t="shared" si="20"/>
        <v>39634</v>
      </c>
      <c r="R30" s="50">
        <f t="shared" si="21"/>
        <v>4637923.0000000009</v>
      </c>
      <c r="S30" s="50">
        <f t="shared" si="16"/>
        <v>0</v>
      </c>
    </row>
    <row r="31" spans="1:21" s="51" customFormat="1" ht="15" customHeight="1" x14ac:dyDescent="0.25">
      <c r="A31" s="46" t="s">
        <v>42</v>
      </c>
      <c r="B31" s="47" t="str">
        <f t="shared" si="5"/>
        <v>Mai Duy Tuân</v>
      </c>
      <c r="C31" s="47" t="str">
        <f t="shared" si="6"/>
        <v>NV</v>
      </c>
      <c r="D31" s="47" t="str">
        <f t="shared" si="7"/>
        <v>Bậc 04</v>
      </c>
      <c r="E31" s="48">
        <f t="shared" si="8"/>
        <v>2.46</v>
      </c>
      <c r="F31" s="48">
        <f t="shared" si="9"/>
        <v>0</v>
      </c>
      <c r="G31" s="49">
        <f t="shared" si="10"/>
        <v>0</v>
      </c>
      <c r="H31" s="48">
        <f t="shared" si="11"/>
        <v>0.2</v>
      </c>
      <c r="I31" s="49">
        <f t="shared" si="22"/>
        <v>0</v>
      </c>
      <c r="J31" s="48">
        <f t="shared" si="12"/>
        <v>0</v>
      </c>
      <c r="K31" s="49">
        <f t="shared" si="13"/>
        <v>0.49199999999999999</v>
      </c>
      <c r="L31" s="48">
        <f t="shared" si="14"/>
        <v>0</v>
      </c>
      <c r="M31" s="48">
        <f t="shared" si="15"/>
        <v>0</v>
      </c>
      <c r="N31" s="50">
        <f>SUM(E31:M31)*luongcanban</f>
        <v>4696480</v>
      </c>
      <c r="O31" s="50">
        <f>(SUM(E31:G31)+I31)*luongcanban*bhxh_1</f>
        <v>293232</v>
      </c>
      <c r="P31" s="50">
        <f>(SUM(E31:G31)+I31)*luongcanban*bhyt_1</f>
        <v>54981</v>
      </c>
      <c r="Q31" s="50">
        <f>(SUM(E31:G31)+I31)*luongcanban*bhtn_1</f>
        <v>36654</v>
      </c>
      <c r="R31" s="50">
        <f t="shared" si="21"/>
        <v>4311613</v>
      </c>
      <c r="S31" s="50">
        <f t="shared" si="16"/>
        <v>0</v>
      </c>
    </row>
    <row r="32" spans="1:21" s="51" customFormat="1" ht="15" customHeight="1" x14ac:dyDescent="0.25">
      <c r="A32" s="46" t="s">
        <v>43</v>
      </c>
      <c r="B32" s="47" t="str">
        <f t="shared" si="5"/>
        <v>Lê Văn Nam</v>
      </c>
      <c r="C32" s="47" t="str">
        <f t="shared" si="6"/>
        <v>NV</v>
      </c>
      <c r="D32" s="47" t="str">
        <f t="shared" si="7"/>
        <v>Bậc 02</v>
      </c>
      <c r="E32" s="48">
        <f t="shared" si="8"/>
        <v>2.67</v>
      </c>
      <c r="F32" s="48">
        <f t="shared" si="9"/>
        <v>0</v>
      </c>
      <c r="G32" s="49">
        <f t="shared" si="10"/>
        <v>0</v>
      </c>
      <c r="H32" s="48">
        <f t="shared" si="11"/>
        <v>0.2</v>
      </c>
      <c r="I32" s="49">
        <f t="shared" si="22"/>
        <v>0</v>
      </c>
      <c r="J32" s="48">
        <f t="shared" si="12"/>
        <v>0</v>
      </c>
      <c r="K32" s="49">
        <f t="shared" si="13"/>
        <v>0.53400000000000003</v>
      </c>
      <c r="L32" s="48">
        <f t="shared" si="14"/>
        <v>0</v>
      </c>
      <c r="M32" s="48">
        <f t="shared" si="15"/>
        <v>0</v>
      </c>
      <c r="N32" s="50">
        <f>SUM(E32:M32)*luongcanban</f>
        <v>5071960</v>
      </c>
      <c r="O32" s="50">
        <f>(SUM(E32:G32)+I32)*luongcanban*bhxh_1</f>
        <v>318264</v>
      </c>
      <c r="P32" s="50">
        <f>(SUM(E32:G32)+I32)*luongcanban*bhyt_1</f>
        <v>59674.5</v>
      </c>
      <c r="Q32" s="50">
        <f>(SUM(E32:G32)+I32)*luongcanban*bhtn_1</f>
        <v>39783</v>
      </c>
      <c r="R32" s="50">
        <f t="shared" si="21"/>
        <v>4654238.5</v>
      </c>
      <c r="S32" s="50">
        <f t="shared" si="16"/>
        <v>0</v>
      </c>
    </row>
    <row r="33" spans="1:24" s="51" customFormat="1" ht="15" customHeight="1" x14ac:dyDescent="0.25">
      <c r="A33" s="46" t="s">
        <v>44</v>
      </c>
      <c r="B33" s="47" t="str">
        <f t="shared" si="5"/>
        <v>Nguyễn Thành Sơn</v>
      </c>
      <c r="C33" s="47" t="str">
        <f t="shared" si="6"/>
        <v>NV</v>
      </c>
      <c r="D33" s="47" t="str">
        <f t="shared" si="7"/>
        <v>Bậc 06</v>
      </c>
      <c r="E33" s="48">
        <f t="shared" si="8"/>
        <v>2.86</v>
      </c>
      <c r="F33" s="48">
        <f t="shared" si="9"/>
        <v>0</v>
      </c>
      <c r="G33" s="49">
        <f t="shared" si="10"/>
        <v>0</v>
      </c>
      <c r="H33" s="48">
        <f t="shared" si="11"/>
        <v>0.2</v>
      </c>
      <c r="I33" s="49">
        <f t="shared" si="22"/>
        <v>0</v>
      </c>
      <c r="J33" s="48">
        <f t="shared" si="12"/>
        <v>0</v>
      </c>
      <c r="K33" s="49">
        <f t="shared" si="13"/>
        <v>0</v>
      </c>
      <c r="L33" s="48">
        <f t="shared" si="14"/>
        <v>0</v>
      </c>
      <c r="M33" s="48">
        <f t="shared" si="15"/>
        <v>0</v>
      </c>
      <c r="N33" s="50">
        <f>SUM(E33:M33)*luongcanban</f>
        <v>4559400</v>
      </c>
      <c r="O33" s="50">
        <f>(SUM(E33:G33)+I33)*luongcanban*bhxh_1</f>
        <v>340912</v>
      </c>
      <c r="P33" s="50">
        <f>(SUM(E33:G33)+I33)*luongcanban*bhyt_1</f>
        <v>63921</v>
      </c>
      <c r="Q33" s="50">
        <f>(SUM(E33:G33)+I33)*luongcanban*bhtn_1</f>
        <v>42614</v>
      </c>
      <c r="R33" s="50">
        <f t="shared" si="21"/>
        <v>4111953</v>
      </c>
      <c r="S33" s="50">
        <f t="shared" si="16"/>
        <v>0</v>
      </c>
    </row>
    <row r="34" spans="1:24" s="57" customFormat="1" ht="15" customHeight="1" x14ac:dyDescent="0.25">
      <c r="A34" s="46"/>
      <c r="B34" s="254" t="s">
        <v>256</v>
      </c>
      <c r="C34" s="254"/>
      <c r="D34" s="255"/>
      <c r="E34" s="109">
        <f t="shared" ref="E34:R34" si="23">SUM(E35:E39)</f>
        <v>15.59</v>
      </c>
      <c r="F34" s="109">
        <f t="shared" si="23"/>
        <v>0.8</v>
      </c>
      <c r="G34" s="109">
        <f t="shared" si="23"/>
        <v>0</v>
      </c>
      <c r="H34" s="109">
        <f t="shared" si="23"/>
        <v>1</v>
      </c>
      <c r="I34" s="109">
        <f t="shared" si="23"/>
        <v>0</v>
      </c>
      <c r="J34" s="109">
        <f t="shared" si="23"/>
        <v>0</v>
      </c>
      <c r="K34" s="109">
        <f t="shared" si="23"/>
        <v>0</v>
      </c>
      <c r="L34" s="109">
        <f t="shared" si="23"/>
        <v>0.2</v>
      </c>
      <c r="M34" s="109">
        <f t="shared" si="23"/>
        <v>0</v>
      </c>
      <c r="N34" s="56">
        <f t="shared" si="23"/>
        <v>26209100</v>
      </c>
      <c r="O34" s="56">
        <f t="shared" si="23"/>
        <v>1953688</v>
      </c>
      <c r="P34" s="56">
        <f t="shared" si="23"/>
        <v>366316.5</v>
      </c>
      <c r="Q34" s="56">
        <f t="shared" si="23"/>
        <v>244211</v>
      </c>
      <c r="R34" s="56">
        <f t="shared" si="23"/>
        <v>23644884.5</v>
      </c>
      <c r="S34" s="56"/>
    </row>
    <row r="35" spans="1:24" s="51" customFormat="1" ht="15" customHeight="1" x14ac:dyDescent="0.25">
      <c r="A35" s="46" t="s">
        <v>45</v>
      </c>
      <c r="B35" s="47" t="str">
        <f>VLOOKUP(mabienche,nhanvien,2,FALSE)</f>
        <v>Phạm Xuân Thành</v>
      </c>
      <c r="C35" s="47" t="str">
        <f>VLOOKUP(mabienche,nhanvien,7,FALSE)</f>
        <v>TP</v>
      </c>
      <c r="D35" s="47" t="str">
        <f>VLOOKUP(mabienche,nhanvien,4,FALSE)</f>
        <v>Bậc 05</v>
      </c>
      <c r="E35" s="48">
        <f>VLOOKUP(mabienche,nhanvien,5,FALSE)</f>
        <v>3.66</v>
      </c>
      <c r="F35" s="48">
        <f>VLOOKUP(mabienche,nhanvien,8,FALSE)</f>
        <v>0.5</v>
      </c>
      <c r="G35" s="49">
        <f>VLOOKUP(mabienche,nhanvien,11,FALSE)</f>
        <v>0</v>
      </c>
      <c r="H35" s="48">
        <f>VLOOKUP(manhanvien,nhanvien,14,FALSE)</f>
        <v>0.2</v>
      </c>
      <c r="I35" s="49">
        <f>VLOOKUP(mabienche,nhanvien,17,FALSE)</f>
        <v>0</v>
      </c>
      <c r="J35" s="48">
        <f>VLOOKUP(mabienche,nhanvien,20,FALSE)</f>
        <v>0</v>
      </c>
      <c r="K35" s="49">
        <f>VLOOKUP(mabienche,nhanvien,23,FALSE)</f>
        <v>0</v>
      </c>
      <c r="L35" s="48">
        <f>VLOOKUP(mabienche,nhanvien,26,FALSE)</f>
        <v>0</v>
      </c>
      <c r="M35" s="48">
        <f>VLOOKUP(mabienche,nhanvien,32,FALSE)</f>
        <v>0</v>
      </c>
      <c r="N35" s="50">
        <f>SUM(E35:M35)*luongcanban</f>
        <v>6496400.0000000009</v>
      </c>
      <c r="O35" s="50">
        <f>(SUM(E35:G35)+I35)*luongcanban*bhxh_1</f>
        <v>495872</v>
      </c>
      <c r="P35" s="50">
        <f>(SUM(E35:G35)+I35)*luongcanban*bhyt_1</f>
        <v>92976</v>
      </c>
      <c r="Q35" s="50">
        <f>(SUM(E35:G35)+I35)*luongcanban*bhtn_1</f>
        <v>61984</v>
      </c>
      <c r="R35" s="50">
        <f>N35-O35-P35-Q35</f>
        <v>5845568.0000000009</v>
      </c>
      <c r="S35" s="50">
        <f>VLOOKUP(mabienche,nhanvien,39,FALSE)</f>
        <v>0</v>
      </c>
    </row>
    <row r="36" spans="1:24" s="51" customFormat="1" ht="15" customHeight="1" x14ac:dyDescent="0.25">
      <c r="A36" s="46" t="s">
        <v>46</v>
      </c>
      <c r="B36" s="47" t="str">
        <f>VLOOKUP(mabienche,nhanvien,2,FALSE)</f>
        <v>Nguyễn Thị Tuyết Mai</v>
      </c>
      <c r="C36" s="47" t="str">
        <f>VLOOKUP(mabienche,nhanvien,7,FALSE)</f>
        <v>P.TP</v>
      </c>
      <c r="D36" s="47" t="str">
        <f>VLOOKUP(mabienche,nhanvien,4,FALSE)</f>
        <v>Bậc 04</v>
      </c>
      <c r="E36" s="48">
        <f>VLOOKUP(mabienche,nhanvien,5,FALSE)</f>
        <v>3.33</v>
      </c>
      <c r="F36" s="48">
        <f>VLOOKUP(mabienche,nhanvien,8,FALSE)</f>
        <v>0.3</v>
      </c>
      <c r="G36" s="49">
        <f>VLOOKUP(mabienche,nhanvien,11,FALSE)</f>
        <v>0</v>
      </c>
      <c r="H36" s="48">
        <f>VLOOKUP(manhanvien,nhanvien,14,FALSE)</f>
        <v>0.2</v>
      </c>
      <c r="I36" s="49">
        <f>VLOOKUP(mabienche,nhanvien,17,FALSE)</f>
        <v>0</v>
      </c>
      <c r="J36" s="48">
        <f>VLOOKUP(mabienche,nhanvien,20,FALSE)</f>
        <v>0</v>
      </c>
      <c r="K36" s="49">
        <f>VLOOKUP(mabienche,nhanvien,23,FALSE)</f>
        <v>0</v>
      </c>
      <c r="L36" s="48">
        <f>VLOOKUP(mabienche,nhanvien,26,FALSE)</f>
        <v>0</v>
      </c>
      <c r="M36" s="48">
        <f>VLOOKUP(mabienche,nhanvien,32,FALSE)</f>
        <v>0</v>
      </c>
      <c r="N36" s="50">
        <f>SUM(E36:M36)*luongcanban</f>
        <v>5706700</v>
      </c>
      <c r="O36" s="50">
        <f>(SUM(E36:G36)+I36)*luongcanban*bhxh_1</f>
        <v>432696</v>
      </c>
      <c r="P36" s="50">
        <f>(SUM(E36:G36)+I36)*luongcanban*bhyt_1</f>
        <v>81130.5</v>
      </c>
      <c r="Q36" s="50">
        <f>(SUM(E36:G36)+I36)*luongcanban*bhtn_1</f>
        <v>54087</v>
      </c>
      <c r="R36" s="50">
        <f>N36-O36-P36-Q36</f>
        <v>5138786.5</v>
      </c>
      <c r="S36" s="50">
        <f>VLOOKUP(mabienche,nhanvien,39,FALSE)</f>
        <v>0</v>
      </c>
    </row>
    <row r="37" spans="1:24" s="51" customFormat="1" ht="15" customHeight="1" x14ac:dyDescent="0.25">
      <c r="A37" s="46" t="s">
        <v>47</v>
      </c>
      <c r="B37" s="47" t="str">
        <f>VLOOKUP(mabienche,nhanvien,2,FALSE)</f>
        <v>Nguyễn Thị Cẩm Tú</v>
      </c>
      <c r="C37" s="47" t="str">
        <f>VLOOKUP(mabienche,nhanvien,7,FALSE)</f>
        <v>NV</v>
      </c>
      <c r="D37" s="47" t="str">
        <f>VLOOKUP(mabienche,nhanvien,4,FALSE)</f>
        <v>Bậc 06</v>
      </c>
      <c r="E37" s="48">
        <f>VLOOKUP(mabienche,nhanvien,5,FALSE)</f>
        <v>2.86</v>
      </c>
      <c r="F37" s="48">
        <f>VLOOKUP(mabienche,nhanvien,8,FALSE)</f>
        <v>0</v>
      </c>
      <c r="G37" s="49">
        <f>VLOOKUP(mabienche,nhanvien,11,FALSE)</f>
        <v>0</v>
      </c>
      <c r="H37" s="48">
        <f>VLOOKUP(manhanvien,nhanvien,14,FALSE)</f>
        <v>0.2</v>
      </c>
      <c r="I37" s="49">
        <f>VLOOKUP(mabienche,nhanvien,17,FALSE)</f>
        <v>0</v>
      </c>
      <c r="J37" s="48">
        <f>VLOOKUP(mabienche,nhanvien,20,FALSE)</f>
        <v>0</v>
      </c>
      <c r="K37" s="49">
        <f>VLOOKUP(mabienche,nhanvien,23,FALSE)</f>
        <v>0</v>
      </c>
      <c r="L37" s="48">
        <f>VLOOKUP(mabienche,nhanvien,26,FALSE)</f>
        <v>0.1</v>
      </c>
      <c r="M37" s="48">
        <f>VLOOKUP(mabienche,nhanvien,32,FALSE)</f>
        <v>0</v>
      </c>
      <c r="N37" s="50">
        <f>SUM(E37:M37)*luongcanban</f>
        <v>4708400</v>
      </c>
      <c r="O37" s="50">
        <f>(SUM(E37:G37)+I37)*luongcanban*bhxh_1</f>
        <v>340912</v>
      </c>
      <c r="P37" s="50">
        <f>(SUM(E37:G37)+I37)*luongcanban*bhyt_1</f>
        <v>63921</v>
      </c>
      <c r="Q37" s="50">
        <f>(SUM(E37:G37)+I37)*luongcanban*bhtn_1</f>
        <v>42614</v>
      </c>
      <c r="R37" s="50">
        <f>N37-O37-P37-Q37</f>
        <v>4260953</v>
      </c>
      <c r="S37" s="50">
        <f>VLOOKUP(mabienche,nhanvien,39,FALSE)</f>
        <v>0</v>
      </c>
      <c r="U37" s="85"/>
    </row>
    <row r="38" spans="1:24" s="51" customFormat="1" ht="15" customHeight="1" x14ac:dyDescent="0.25">
      <c r="A38" s="46" t="s">
        <v>48</v>
      </c>
      <c r="B38" s="47" t="str">
        <f>VLOOKUP(mabienche,nhanvien,2,FALSE)</f>
        <v>Bùi Thị Oanh</v>
      </c>
      <c r="C38" s="47" t="str">
        <f>VLOOKUP(mabienche,nhanvien,7,FALSE)</f>
        <v>NV</v>
      </c>
      <c r="D38" s="47" t="str">
        <f>VLOOKUP(mabienche,nhanvien,4,FALSE)</f>
        <v>Bậc 02</v>
      </c>
      <c r="E38" s="48">
        <f>VLOOKUP(mabienche,nhanvien,5,FALSE)</f>
        <v>2.41</v>
      </c>
      <c r="F38" s="48">
        <f>VLOOKUP(mabienche,nhanvien,8,FALSE)</f>
        <v>0</v>
      </c>
      <c r="G38" s="49">
        <f>VLOOKUP(mabienche,nhanvien,11,FALSE)</f>
        <v>0</v>
      </c>
      <c r="H38" s="48">
        <f>VLOOKUP(manhanvien,nhanvien,14,FALSE)</f>
        <v>0.2</v>
      </c>
      <c r="I38" s="49">
        <f>VLOOKUP(mabienche,nhanvien,17,FALSE)</f>
        <v>0</v>
      </c>
      <c r="J38" s="48">
        <f>VLOOKUP(mabienche,nhanvien,20,FALSE)</f>
        <v>0</v>
      </c>
      <c r="K38" s="49">
        <f>VLOOKUP(mabienche,nhanvien,23,FALSE)</f>
        <v>0</v>
      </c>
      <c r="L38" s="48">
        <f>VLOOKUP(mabienche,nhanvien,26,FALSE)</f>
        <v>0.1</v>
      </c>
      <c r="M38" s="48">
        <f>VLOOKUP(mabienche,nhanvien,32,FALSE)</f>
        <v>0</v>
      </c>
      <c r="N38" s="50">
        <f>SUM(E38:M38)*luongcanban</f>
        <v>4037900.0000000005</v>
      </c>
      <c r="O38" s="50">
        <f>(SUM(E38:G38)+I38)*luongcanban*bhxh_1</f>
        <v>287272</v>
      </c>
      <c r="P38" s="50">
        <f>(SUM(E38:G38)+I38)*luongcanban*bhyt_1</f>
        <v>53863.5</v>
      </c>
      <c r="Q38" s="50">
        <f>(SUM(E38:G38)+I38)*luongcanban*bhtn_1</f>
        <v>35909</v>
      </c>
      <c r="R38" s="50">
        <f>N38-O38-P38-Q38</f>
        <v>3660855.5000000005</v>
      </c>
      <c r="S38" s="50">
        <f>VLOOKUP(mabienche,nhanvien,39,FALSE)</f>
        <v>0</v>
      </c>
      <c r="U38" s="85"/>
      <c r="V38" s="233">
        <f>thuclinh_bc+'Luong HĐ 68'!thuclinh_vv</f>
        <v>175061335.21000001</v>
      </c>
    </row>
    <row r="39" spans="1:24" s="94" customFormat="1" ht="15" customHeight="1" x14ac:dyDescent="0.25">
      <c r="A39" s="46" t="s">
        <v>106</v>
      </c>
      <c r="B39" s="95" t="str">
        <f>VLOOKUP(mabienche,nhanvien,2,FALSE)</f>
        <v>Trần Thị Bạch Minh</v>
      </c>
      <c r="C39" s="95" t="str">
        <f>VLOOKUP(mabienche,nhanvien,7,FALSE)</f>
        <v>NV</v>
      </c>
      <c r="D39" s="95" t="str">
        <f>VLOOKUP(mabienche,nhanvien,4,FALSE)</f>
        <v>Bậc 04</v>
      </c>
      <c r="E39" s="96">
        <f>VLOOKUP(mabienche,nhanvien,5,FALSE)</f>
        <v>3.33</v>
      </c>
      <c r="F39" s="96">
        <f>VLOOKUP(mabienche,nhanvien,8,FALSE)</f>
        <v>0</v>
      </c>
      <c r="G39" s="97">
        <f>VLOOKUP(mabienche,nhanvien,11,FALSE)</f>
        <v>0</v>
      </c>
      <c r="H39" s="96">
        <f>VLOOKUP(manhanvien,nhanvien,14,FALSE)</f>
        <v>0.2</v>
      </c>
      <c r="I39" s="97">
        <f>VLOOKUP(mabienche,nhanvien,17,FALSE)</f>
        <v>0</v>
      </c>
      <c r="J39" s="96">
        <f>VLOOKUP(mabienche,nhanvien,20,FALSE)</f>
        <v>0</v>
      </c>
      <c r="K39" s="97">
        <f>VLOOKUP(mabienche,nhanvien,23,FALSE)</f>
        <v>0</v>
      </c>
      <c r="L39" s="96">
        <f>VLOOKUP(mabienche,nhanvien,26,FALSE)</f>
        <v>0</v>
      </c>
      <c r="M39" s="96">
        <f>VLOOKUP(mabienche,nhanvien,32,FALSE)</f>
        <v>0</v>
      </c>
      <c r="N39" s="98">
        <f>SUM(E39:M39)*luongcanban</f>
        <v>5259700</v>
      </c>
      <c r="O39" s="98">
        <f>(SUM(E39:G39)+I39)*luongcanban*bhxh_1</f>
        <v>396936</v>
      </c>
      <c r="P39" s="98">
        <f>(SUM(E39:G39)+I39)*luongcanban*bhyt_1</f>
        <v>74425.5</v>
      </c>
      <c r="Q39" s="98">
        <f>(SUM(E39:G39)+I39)*luongcanban*bhtn_1</f>
        <v>49617</v>
      </c>
      <c r="R39" s="98">
        <f>N39-O39-P39-Q39</f>
        <v>4738721.5</v>
      </c>
      <c r="S39" s="98">
        <f>VLOOKUP(mabienche,nhanvien,39,FALSE)</f>
        <v>0</v>
      </c>
    </row>
    <row r="40" spans="1:24" s="57" customFormat="1" ht="15" customHeight="1" x14ac:dyDescent="0.25">
      <c r="A40" s="52"/>
      <c r="B40" s="258" t="s">
        <v>49</v>
      </c>
      <c r="C40" s="259"/>
      <c r="D40" s="53"/>
      <c r="E40" s="54">
        <f t="shared" ref="E40:R40" si="24">E6+E10+E14+E20+E23+E34</f>
        <v>97.539999999999992</v>
      </c>
      <c r="F40" s="54">
        <f t="shared" si="24"/>
        <v>5.2999999999999989</v>
      </c>
      <c r="G40" s="55">
        <f t="shared" si="24"/>
        <v>0.34860000000000008</v>
      </c>
      <c r="H40" s="54">
        <f t="shared" si="24"/>
        <v>5.6</v>
      </c>
      <c r="I40" s="55">
        <f t="shared" si="24"/>
        <v>4.1916000000000002</v>
      </c>
      <c r="J40" s="54">
        <f t="shared" si="24"/>
        <v>0.4</v>
      </c>
      <c r="K40" s="55">
        <f t="shared" si="24"/>
        <v>7.9260000000000002</v>
      </c>
      <c r="L40" s="54">
        <f t="shared" si="24"/>
        <v>0.4</v>
      </c>
      <c r="M40" s="54">
        <f t="shared" si="24"/>
        <v>0.70000000000000007</v>
      </c>
      <c r="N40" s="56">
        <f t="shared" si="24"/>
        <v>182385238</v>
      </c>
      <c r="O40" s="56">
        <f t="shared" si="24"/>
        <v>12799719.84</v>
      </c>
      <c r="P40" s="56">
        <f t="shared" si="24"/>
        <v>2399947.4699999997</v>
      </c>
      <c r="Q40" s="56">
        <f t="shared" si="24"/>
        <v>1486277.98</v>
      </c>
      <c r="R40" s="56">
        <f t="shared" si="24"/>
        <v>165699292.71000001</v>
      </c>
      <c r="S40" s="50"/>
      <c r="U40" s="199">
        <f>hesoluongcanban_bc+hesochucvu_bc+hesovuotkhung_bc+hesothamniennghe_bc</f>
        <v>107.38019999999999</v>
      </c>
      <c r="V40" s="101">
        <f>U40*90000</f>
        <v>9664217.9999999981</v>
      </c>
      <c r="W40" s="101"/>
      <c r="X40" s="101"/>
    </row>
    <row r="41" spans="1:24" s="25" customFormat="1" ht="36.75" customHeight="1" x14ac:dyDescent="0.25">
      <c r="A41" s="43"/>
      <c r="B41" s="260" t="str">
        <f>lb_4</f>
        <v>Ghi chú: BHXH, BHYT, BHTN = (Hệ số lương + Chức vụ + Vượt khung + Thâm niên nghề) x1.390.000 x Hệ số BHXH, BHYT, BHTN</v>
      </c>
      <c r="C41" s="260"/>
      <c r="D41" s="260"/>
      <c r="E41" s="260"/>
      <c r="F41" s="260"/>
      <c r="G41" s="260"/>
      <c r="H41" s="260"/>
      <c r="I41" s="260"/>
      <c r="J41" s="260"/>
      <c r="K41" s="260"/>
      <c r="L41" s="260"/>
      <c r="M41" s="260"/>
      <c r="N41" s="260"/>
      <c r="O41" s="260"/>
      <c r="P41" s="260"/>
      <c r="Q41" s="260"/>
      <c r="R41" s="260"/>
      <c r="S41" s="260"/>
      <c r="U41" s="110"/>
      <c r="V41" s="110">
        <f>hesokhuvuc_bc*1300000</f>
        <v>7280000</v>
      </c>
    </row>
    <row r="42" spans="1:24" s="2" customFormat="1" x14ac:dyDescent="0.25">
      <c r="E42" s="63">
        <f>E7</f>
        <v>6.1</v>
      </c>
      <c r="F42" s="63">
        <f>F7</f>
        <v>0.9</v>
      </c>
      <c r="G42" s="64">
        <f>G7</f>
        <v>0</v>
      </c>
      <c r="I42" s="64">
        <f>I7</f>
        <v>0.63</v>
      </c>
      <c r="N42" s="256" t="str">
        <f>ngay</f>
        <v>Tây Ninh, ngày 01 tháng 7 năm 2019</v>
      </c>
      <c r="O42" s="256"/>
      <c r="P42" s="256"/>
      <c r="Q42" s="256"/>
      <c r="R42" s="256"/>
      <c r="S42" s="256"/>
    </row>
    <row r="43" spans="1:24" s="15" customFormat="1" ht="33.75" customHeight="1" x14ac:dyDescent="0.25">
      <c r="A43" s="20"/>
      <c r="B43" s="251" t="s">
        <v>72</v>
      </c>
      <c r="C43" s="251"/>
      <c r="D43" s="251" t="s">
        <v>73</v>
      </c>
      <c r="E43" s="251"/>
      <c r="F43" s="251"/>
      <c r="G43" s="251"/>
      <c r="H43" s="251"/>
      <c r="I43" s="251"/>
      <c r="J43" s="251"/>
      <c r="K43" s="251"/>
      <c r="L43" s="251"/>
      <c r="N43" s="252" t="s">
        <v>71</v>
      </c>
      <c r="O43" s="252"/>
      <c r="P43" s="252"/>
      <c r="Q43" s="252"/>
      <c r="R43" s="252"/>
      <c r="S43" s="252"/>
      <c r="V43" s="15">
        <f>hesoluongcanban_bc+hesochucvu_bc+hesovuotkhung_bc+hesothamniennghe_bc+'Luong HĐ 68'!hesoluongcanban_vv+hesoluongcanban_vv</f>
        <v>125.32019999999999</v>
      </c>
      <c r="W43" s="15">
        <f>(E7+F7+I7)*1490000</f>
        <v>11368700</v>
      </c>
    </row>
    <row r="44" spans="1:24" x14ac:dyDescent="0.25">
      <c r="N44" s="4"/>
      <c r="O44" s="4"/>
      <c r="P44" s="4"/>
      <c r="Q44" s="4"/>
      <c r="R44" s="4"/>
      <c r="V44" s="1">
        <f>V43*1490000</f>
        <v>186727097.99999997</v>
      </c>
      <c r="W44" s="1">
        <f>W43*1%</f>
        <v>113687</v>
      </c>
    </row>
    <row r="45" spans="1:24" x14ac:dyDescent="0.25">
      <c r="N45" s="4"/>
      <c r="O45" s="4"/>
      <c r="P45" s="4"/>
      <c r="Q45" s="4"/>
      <c r="R45" s="4"/>
      <c r="V45" s="1">
        <f>V44*32%</f>
        <v>59752671.359999992</v>
      </c>
    </row>
    <row r="46" spans="1:24" x14ac:dyDescent="0.25">
      <c r="N46" s="4"/>
      <c r="O46" s="4"/>
      <c r="P46" s="4"/>
      <c r="Q46" s="4"/>
      <c r="R46" s="4"/>
      <c r="V46" s="234">
        <f>V45-W44-W44</f>
        <v>59525297.359999992</v>
      </c>
    </row>
    <row r="47" spans="1:24" x14ac:dyDescent="0.25">
      <c r="N47" s="4"/>
      <c r="O47" s="4"/>
      <c r="P47" s="4"/>
      <c r="Q47" s="4"/>
      <c r="R47" s="4"/>
    </row>
    <row r="50" spans="1:19" x14ac:dyDescent="0.25">
      <c r="A50" s="27"/>
      <c r="B50" s="261" t="str">
        <f>donvi!B3</f>
        <v>Nguyễn Thị Thu Lan</v>
      </c>
      <c r="C50" s="261"/>
      <c r="D50" s="261" t="str">
        <f>lb_2</f>
        <v>Nguyễn Văn Cường</v>
      </c>
      <c r="E50" s="261"/>
      <c r="F50" s="261"/>
      <c r="G50" s="261"/>
      <c r="H50" s="261"/>
      <c r="I50" s="261"/>
      <c r="J50" s="261"/>
      <c r="K50" s="261"/>
      <c r="L50" s="261"/>
      <c r="M50" s="28"/>
      <c r="N50" s="257">
        <f>lb_3</f>
        <v>0</v>
      </c>
      <c r="O50" s="257"/>
      <c r="P50" s="257"/>
      <c r="Q50" s="257"/>
      <c r="R50" s="257"/>
      <c r="S50" s="257"/>
    </row>
  </sheetData>
  <mergeCells count="21">
    <mergeCell ref="N42:S42"/>
    <mergeCell ref="N50:S50"/>
    <mergeCell ref="B40:C40"/>
    <mergeCell ref="B41:S41"/>
    <mergeCell ref="B14:D14"/>
    <mergeCell ref="D50:L50"/>
    <mergeCell ref="B34:D34"/>
    <mergeCell ref="N43:S43"/>
    <mergeCell ref="B50:C50"/>
    <mergeCell ref="B6:D6"/>
    <mergeCell ref="B10:D10"/>
    <mergeCell ref="B43:C43"/>
    <mergeCell ref="D43:L43"/>
    <mergeCell ref="B23:D23"/>
    <mergeCell ref="B20:D20"/>
    <mergeCell ref="A4:S4"/>
    <mergeCell ref="H1:R1"/>
    <mergeCell ref="H2:R2"/>
    <mergeCell ref="A1:G1"/>
    <mergeCell ref="A2:G2"/>
    <mergeCell ref="A3:S3"/>
  </mergeCells>
  <phoneticPr fontId="3" type="noConversion"/>
  <pageMargins left="0.2" right="0.2" top="0.72" bottom="0.82" header="0.34" footer="0.37"/>
  <pageSetup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</sheetPr>
  <dimension ref="A1:U18"/>
  <sheetViews>
    <sheetView workbookViewId="0">
      <selection activeCell="U8" sqref="U8"/>
    </sheetView>
  </sheetViews>
  <sheetFormatPr defaultColWidth="9.109375" defaultRowHeight="13.2" x14ac:dyDescent="0.25"/>
  <cols>
    <col min="1" max="1" width="5" style="1" customWidth="1"/>
    <col min="2" max="2" width="17" style="1" customWidth="1"/>
    <col min="3" max="3" width="7.88671875" style="1" customWidth="1"/>
    <col min="4" max="4" width="5.88671875" style="1" customWidth="1"/>
    <col min="5" max="5" width="6.33203125" style="1" customWidth="1"/>
    <col min="6" max="6" width="5.109375" style="1" customWidth="1"/>
    <col min="7" max="7" width="6.5546875" style="1" customWidth="1"/>
    <col min="8" max="8" width="5.109375" style="1" customWidth="1"/>
    <col min="9" max="9" width="6.5546875" style="1" customWidth="1"/>
    <col min="10" max="10" width="5" style="1" customWidth="1"/>
    <col min="11" max="11" width="7" style="1" customWidth="1"/>
    <col min="12" max="12" width="5" style="1" customWidth="1"/>
    <col min="13" max="13" width="10.88671875" style="1" customWidth="1"/>
    <col min="14" max="14" width="9" style="1" customWidth="1"/>
    <col min="15" max="15" width="8" style="1" customWidth="1"/>
    <col min="16" max="16" width="9.33203125" style="1" customWidth="1"/>
    <col min="17" max="17" width="10.44140625" style="1" customWidth="1"/>
    <col min="18" max="18" width="6.109375" style="1" customWidth="1"/>
    <col min="19" max="19" width="9.109375" style="1"/>
    <col min="20" max="20" width="9.88671875" style="1" bestFit="1" customWidth="1"/>
    <col min="21" max="16384" width="9.109375" style="1"/>
  </cols>
  <sheetData>
    <row r="1" spans="1:21" s="7" customFormat="1" ht="13.5" customHeight="1" x14ac:dyDescent="0.25">
      <c r="A1" s="252" t="s">
        <v>27</v>
      </c>
      <c r="B1" s="252"/>
      <c r="C1" s="252"/>
      <c r="D1" s="252"/>
      <c r="E1" s="252"/>
      <c r="F1" s="252"/>
      <c r="H1" s="251" t="s">
        <v>29</v>
      </c>
      <c r="I1" s="251"/>
      <c r="J1" s="251"/>
      <c r="K1" s="251"/>
      <c r="L1" s="251"/>
      <c r="M1" s="251"/>
      <c r="N1" s="251"/>
      <c r="O1" s="251"/>
      <c r="P1" s="251"/>
      <c r="Q1" s="251"/>
    </row>
    <row r="2" spans="1:21" s="7" customFormat="1" ht="13.5" customHeight="1" x14ac:dyDescent="0.25">
      <c r="A2" s="252" t="s">
        <v>28</v>
      </c>
      <c r="B2" s="252"/>
      <c r="C2" s="252"/>
      <c r="D2" s="252"/>
      <c r="E2" s="252"/>
      <c r="F2" s="252"/>
      <c r="H2" s="251" t="s">
        <v>30</v>
      </c>
      <c r="I2" s="251"/>
      <c r="J2" s="251"/>
      <c r="K2" s="251"/>
      <c r="L2" s="251"/>
      <c r="M2" s="251"/>
      <c r="N2" s="251"/>
      <c r="O2" s="251"/>
      <c r="P2" s="251"/>
      <c r="Q2" s="251"/>
    </row>
    <row r="3" spans="1:21" s="7" customFormat="1" ht="21" customHeight="1" x14ac:dyDescent="0.3">
      <c r="A3" s="253" t="s">
        <v>239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</row>
    <row r="4" spans="1:21" s="7" customFormat="1" ht="21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</row>
    <row r="5" spans="1:21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25</v>
      </c>
      <c r="N5" s="44" t="s">
        <v>355</v>
      </c>
      <c r="O5" s="44" t="s">
        <v>356</v>
      </c>
      <c r="P5" s="44" t="s">
        <v>357</v>
      </c>
      <c r="Q5" s="44" t="s">
        <v>26</v>
      </c>
      <c r="R5" s="44" t="s">
        <v>101</v>
      </c>
    </row>
    <row r="6" spans="1:21" s="57" customFormat="1" ht="15" customHeight="1" x14ac:dyDescent="0.25">
      <c r="A6" s="262" t="s">
        <v>361</v>
      </c>
      <c r="B6" s="263"/>
      <c r="C6" s="84"/>
      <c r="D6" s="84"/>
      <c r="E6" s="54">
        <f t="shared" ref="E6:Q6" si="0">SUM(E7:E9)</f>
        <v>6.3500000000000005</v>
      </c>
      <c r="F6" s="54">
        <f t="shared" si="0"/>
        <v>0</v>
      </c>
      <c r="G6" s="54">
        <f t="shared" si="0"/>
        <v>0</v>
      </c>
      <c r="H6" s="54">
        <f t="shared" si="0"/>
        <v>0.60000000000000009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6">
        <f t="shared" si="0"/>
        <v>10355500</v>
      </c>
      <c r="N6" s="56">
        <f t="shared" si="0"/>
        <v>756920</v>
      </c>
      <c r="O6" s="56">
        <f t="shared" si="0"/>
        <v>141922.5</v>
      </c>
      <c r="P6" s="56">
        <f t="shared" si="0"/>
        <v>94615</v>
      </c>
      <c r="Q6" s="56">
        <f t="shared" si="0"/>
        <v>9362042.5</v>
      </c>
      <c r="R6" s="56"/>
      <c r="S6" s="101"/>
    </row>
    <row r="7" spans="1:21" s="94" customFormat="1" ht="15" customHeight="1" x14ac:dyDescent="0.25">
      <c r="A7" s="205" t="s">
        <v>231</v>
      </c>
      <c r="B7" s="95" t="str">
        <f>VLOOKUP(mavuviec,nhanvien,2,FALSE)</f>
        <v>Võ Văn Đô</v>
      </c>
      <c r="C7" s="95" t="str">
        <f>VLOOKUP(mavuviec,nhanvien,7,FALSE)</f>
        <v>NV</v>
      </c>
      <c r="D7" s="95" t="str">
        <f>VLOOKUP(mavuviec,nhanvien,4,FALSE)</f>
        <v>Bậc 09</v>
      </c>
      <c r="E7" s="96">
        <f>VLOOKUP(mavuviec,nhanvien,5,FALSE)</f>
        <v>3.49</v>
      </c>
      <c r="F7" s="96">
        <f>VLOOKUP(mavuviec,nhanvien,8,FALSE)</f>
        <v>0</v>
      </c>
      <c r="G7" s="97">
        <f>VLOOKUP(mavuviec,nhanvien,11,FALSE)</f>
        <v>0</v>
      </c>
      <c r="H7" s="96">
        <f>VLOOKUP(manhanvien,nhanvien,14,FALSE)</f>
        <v>0.2</v>
      </c>
      <c r="I7" s="97">
        <f>VLOOKUP(mavuviec,nhanvien,17,FALSE)</f>
        <v>0</v>
      </c>
      <c r="J7" s="96">
        <f>VLOOKUP(mavuviec,nhanvien,20,FALSE)</f>
        <v>0</v>
      </c>
      <c r="K7" s="97">
        <f>VLOOKUP(mavuviec,nhanvien,23,FALSE)</f>
        <v>0</v>
      </c>
      <c r="L7" s="96">
        <f>VLOOKUP(mavuviec,nhanvien,26,FALSE)</f>
        <v>0</v>
      </c>
      <c r="M7" s="98">
        <f>SUM(E7:L7)*luongcanban</f>
        <v>5498100.0000000009</v>
      </c>
      <c r="N7" s="98">
        <f>SUM(E7:G7)*luongcanban*bhxh_1</f>
        <v>416008</v>
      </c>
      <c r="O7" s="98">
        <f>SUM(E7:G7)*luongcanban*bhyt_1</f>
        <v>78001.5</v>
      </c>
      <c r="P7" s="98">
        <f>SUM(E7:G7)*luongcanban*bhtn_1</f>
        <v>52001</v>
      </c>
      <c r="Q7" s="98">
        <f>M7-N7-O7-P7</f>
        <v>4952089.5000000009</v>
      </c>
      <c r="R7" s="98">
        <f>VLOOKUP(mavuviec,nhanvien,39,FALSE)</f>
        <v>0</v>
      </c>
      <c r="S7" s="206"/>
    </row>
    <row r="8" spans="1:21" s="51" customFormat="1" ht="15" customHeight="1" x14ac:dyDescent="0.25">
      <c r="A8" s="46" t="s">
        <v>233</v>
      </c>
      <c r="B8" s="47" t="str">
        <f>VLOOKUP(mavuviec,nhanvien,2,FALSE)</f>
        <v>Nguyễn Thị Sa Ly</v>
      </c>
      <c r="C8" s="47" t="str">
        <f>VLOOKUP(mavuviec,nhanvien,7,FALSE)</f>
        <v>NV</v>
      </c>
      <c r="D8" s="47" t="str">
        <f>VLOOKUP(mavuviec,nhanvien,4,FALSE)</f>
        <v>Bậc 01</v>
      </c>
      <c r="E8" s="48">
        <f>VLOOKUP(mavuviec,nhanvien,5,FALSE)</f>
        <v>1</v>
      </c>
      <c r="F8" s="48">
        <f>VLOOKUP(mavuviec,nhanvien,8,FALSE)</f>
        <v>0</v>
      </c>
      <c r="G8" s="49">
        <f>VLOOKUP(mavuviec,nhanvien,11,FALSE)</f>
        <v>0</v>
      </c>
      <c r="H8" s="48">
        <f>VLOOKUP(manhanvien,nhanvien,14,FALSE)</f>
        <v>0.2</v>
      </c>
      <c r="I8" s="49">
        <f>VLOOKUP(mavuviec,nhanvien,17,FALSE)</f>
        <v>0</v>
      </c>
      <c r="J8" s="48">
        <f>VLOOKUP(mavuviec,nhanvien,20,FALSE)</f>
        <v>0</v>
      </c>
      <c r="K8" s="49">
        <f>VLOOKUP(mavuviec,nhanvien,23,FALSE)</f>
        <v>0</v>
      </c>
      <c r="L8" s="48">
        <f>VLOOKUP(mavuviec,nhanvien,26,FALSE)</f>
        <v>0</v>
      </c>
      <c r="M8" s="50">
        <f>SUM(E8:L8)*luongcanban</f>
        <v>1788000</v>
      </c>
      <c r="N8" s="50">
        <f>SUM(E8:G8)*luongcanban*bhxh_1</f>
        <v>119200</v>
      </c>
      <c r="O8" s="50">
        <f>SUM(E8:G8)*luongcanban*bhyt_1</f>
        <v>22350</v>
      </c>
      <c r="P8" s="50">
        <f>SUM(E8:G8)*luongcanban*bhtn_1</f>
        <v>14900</v>
      </c>
      <c r="Q8" s="50">
        <f>M8-N8-O8-P8</f>
        <v>1631550</v>
      </c>
      <c r="R8" s="50">
        <f>VLOOKUP(mavuviec,nhanvien,39,FALSE)</f>
        <v>0</v>
      </c>
      <c r="U8" s="51">
        <f>thuclinh_vv+thuclinh_bc</f>
        <v>175061335.21000001</v>
      </c>
    </row>
    <row r="9" spans="1:21" s="51" customFormat="1" ht="15" customHeight="1" x14ac:dyDescent="0.25">
      <c r="A9" s="46" t="s">
        <v>258</v>
      </c>
      <c r="B9" s="47" t="str">
        <f>VLOOKUP(mavuviec,nhanvien,2,FALSE)</f>
        <v>Nguyễn Minh Phương</v>
      </c>
      <c r="C9" s="47" t="str">
        <f>VLOOKUP(mavuviec,nhanvien,7,FALSE)</f>
        <v>NV</v>
      </c>
      <c r="D9" s="47" t="str">
        <f>VLOOKUP(mavuviec,nhanvien,4,FALSE)</f>
        <v>Bậc 03</v>
      </c>
      <c r="E9" s="48">
        <f>VLOOKUP(mavuviec,nhanvien,5,FALSE)</f>
        <v>1.86</v>
      </c>
      <c r="F9" s="48">
        <f>VLOOKUP(mavuviec,nhanvien,8,FALSE)</f>
        <v>0</v>
      </c>
      <c r="G9" s="49">
        <f>VLOOKUP(mavuviec,nhanvien,11,FALSE)</f>
        <v>0</v>
      </c>
      <c r="H9" s="48">
        <f>VLOOKUP(manhanvien,nhanvien,14,FALSE)</f>
        <v>0.2</v>
      </c>
      <c r="I9" s="49">
        <f>VLOOKUP(mavuviec,nhanvien,17,FALSE)</f>
        <v>0</v>
      </c>
      <c r="J9" s="48">
        <f>VLOOKUP(mavuviec,nhanvien,20,FALSE)</f>
        <v>0</v>
      </c>
      <c r="K9" s="49">
        <f>VLOOKUP(mavuviec,nhanvien,23,FALSE)</f>
        <v>0</v>
      </c>
      <c r="L9" s="48">
        <f>VLOOKUP(mavuviec,nhanvien,26,FALSE)</f>
        <v>0</v>
      </c>
      <c r="M9" s="50">
        <f>SUM(E9:L9)*luongcanban</f>
        <v>3069400</v>
      </c>
      <c r="N9" s="50">
        <f>SUM(E9:G9)*luongcanban*bhxh_1</f>
        <v>221712</v>
      </c>
      <c r="O9" s="50">
        <f>SUM(E9:G9)*luongcanban*bhyt_1</f>
        <v>41571</v>
      </c>
      <c r="P9" s="50">
        <f>SUM(E9:G9)*luongcanban*bhtn_1</f>
        <v>27714</v>
      </c>
      <c r="Q9" s="50">
        <f>M9-N9-O9-P9</f>
        <v>2778403</v>
      </c>
      <c r="R9" s="50">
        <f>VLOOKUP(mavuviec,nhanvien,39,FALSE)</f>
        <v>0</v>
      </c>
    </row>
    <row r="10" spans="1:21" s="57" customFormat="1" ht="15" customHeight="1" x14ac:dyDescent="0.25">
      <c r="A10" s="52"/>
      <c r="B10" s="264" t="s">
        <v>49</v>
      </c>
      <c r="C10" s="258"/>
      <c r="D10" s="53"/>
      <c r="E10" s="54">
        <f t="shared" ref="E10:Q10" si="1">SUM(E6:E9)/2</f>
        <v>6.35</v>
      </c>
      <c r="F10" s="54">
        <f t="shared" si="1"/>
        <v>0</v>
      </c>
      <c r="G10" s="54">
        <f t="shared" si="1"/>
        <v>0</v>
      </c>
      <c r="H10" s="54">
        <f t="shared" si="1"/>
        <v>0.6</v>
      </c>
      <c r="I10" s="54">
        <f t="shared" si="1"/>
        <v>0</v>
      </c>
      <c r="J10" s="54">
        <f t="shared" si="1"/>
        <v>0</v>
      </c>
      <c r="K10" s="54">
        <f t="shared" si="1"/>
        <v>0</v>
      </c>
      <c r="L10" s="54">
        <f t="shared" si="1"/>
        <v>0</v>
      </c>
      <c r="M10" s="108">
        <f t="shared" si="1"/>
        <v>10355500</v>
      </c>
      <c r="N10" s="108">
        <f t="shared" si="1"/>
        <v>756920</v>
      </c>
      <c r="O10" s="108">
        <f t="shared" si="1"/>
        <v>141922.5</v>
      </c>
      <c r="P10" s="108">
        <f t="shared" si="1"/>
        <v>94615</v>
      </c>
      <c r="Q10" s="108">
        <f t="shared" si="1"/>
        <v>9362042.5</v>
      </c>
      <c r="R10" s="50"/>
      <c r="S10" s="51"/>
    </row>
    <row r="11" spans="1:21" s="25" customFormat="1" ht="14.25" customHeight="1" x14ac:dyDescent="0.25">
      <c r="A11" s="43"/>
      <c r="B11" s="260" t="str">
        <f>lb_4</f>
        <v>Ghi chú: BHXH, BHYT, BHTN = (Hệ số lương + Chức vụ + Vượt khung + Thâm niên nghề) x1.390.000 x Hệ số BHXH, BHYT, BHTN</v>
      </c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</row>
    <row r="12" spans="1:21" s="2" customFormat="1" x14ac:dyDescent="0.25">
      <c r="M12" s="256" t="str">
        <f>ngay</f>
        <v>Tây Ninh, ngày 01 tháng 7 năm 2019</v>
      </c>
      <c r="N12" s="256"/>
      <c r="O12" s="256"/>
      <c r="P12" s="256"/>
      <c r="Q12" s="256"/>
      <c r="R12" s="256"/>
    </row>
    <row r="13" spans="1:21" s="15" customFormat="1" ht="33.75" customHeight="1" x14ac:dyDescent="0.25">
      <c r="A13" s="20"/>
      <c r="B13" s="251" t="s">
        <v>72</v>
      </c>
      <c r="C13" s="251"/>
      <c r="D13" s="251" t="s">
        <v>73</v>
      </c>
      <c r="E13" s="251"/>
      <c r="F13" s="251"/>
      <c r="G13" s="251"/>
      <c r="H13" s="251"/>
      <c r="I13" s="251"/>
      <c r="J13" s="251"/>
      <c r="K13" s="251"/>
      <c r="L13" s="251"/>
      <c r="M13" s="252" t="s">
        <v>71</v>
      </c>
      <c r="N13" s="252"/>
      <c r="O13" s="252"/>
      <c r="P13" s="252"/>
      <c r="Q13" s="252"/>
      <c r="R13" s="252"/>
      <c r="T13" s="15">
        <f>hesoluongcanban_vv*1390000*0.02</f>
        <v>176530</v>
      </c>
    </row>
    <row r="14" spans="1:21" x14ac:dyDescent="0.25">
      <c r="M14" s="4"/>
      <c r="N14" s="4"/>
      <c r="O14" s="4"/>
      <c r="P14" s="4"/>
      <c r="Q14" s="4"/>
    </row>
    <row r="15" spans="1:21" x14ac:dyDescent="0.25">
      <c r="M15" s="4"/>
      <c r="N15" s="4"/>
      <c r="O15" s="4"/>
      <c r="P15" s="4"/>
      <c r="Q15" s="4"/>
    </row>
    <row r="16" spans="1:21" x14ac:dyDescent="0.25">
      <c r="M16" s="4"/>
      <c r="N16" s="4"/>
      <c r="O16" s="4"/>
      <c r="P16" s="4"/>
      <c r="Q16" s="4"/>
    </row>
    <row r="17" spans="1:18" x14ac:dyDescent="0.25">
      <c r="M17" s="4"/>
      <c r="N17" s="4"/>
      <c r="O17" s="4"/>
      <c r="P17" s="4"/>
      <c r="Q17" s="4"/>
    </row>
    <row r="18" spans="1:18" x14ac:dyDescent="0.25">
      <c r="A18" s="27"/>
      <c r="B18" s="261" t="s">
        <v>283</v>
      </c>
      <c r="C18" s="261"/>
      <c r="D18" s="261" t="str">
        <f>lb_2</f>
        <v>Nguyễn Văn Cường</v>
      </c>
      <c r="E18" s="261"/>
      <c r="F18" s="261"/>
      <c r="G18" s="261"/>
      <c r="H18" s="261"/>
      <c r="I18" s="261"/>
      <c r="J18" s="261"/>
      <c r="K18" s="261"/>
      <c r="L18" s="261"/>
      <c r="M18" s="257">
        <f>lb_3</f>
        <v>0</v>
      </c>
      <c r="N18" s="257"/>
      <c r="O18" s="257"/>
      <c r="P18" s="257"/>
      <c r="Q18" s="257"/>
      <c r="R18" s="257"/>
    </row>
  </sheetData>
  <mergeCells count="16">
    <mergeCell ref="B18:C18"/>
    <mergeCell ref="D18:L18"/>
    <mergeCell ref="M18:R18"/>
    <mergeCell ref="A6:B6"/>
    <mergeCell ref="B10:C10"/>
    <mergeCell ref="B11:R11"/>
    <mergeCell ref="M12:R12"/>
    <mergeCell ref="B13:C13"/>
    <mergeCell ref="D13:L13"/>
    <mergeCell ref="M13:R13"/>
    <mergeCell ref="A4:R4"/>
    <mergeCell ref="A1:F1"/>
    <mergeCell ref="H1:Q1"/>
    <mergeCell ref="A2:F2"/>
    <mergeCell ref="H2:Q2"/>
    <mergeCell ref="A3:R3"/>
  </mergeCells>
  <pageMargins left="0.24" right="0.16" top="0.35" bottom="0.22" header="0.23" footer="0.17"/>
  <pageSetup orientation="landscape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83"/>
  <sheetViews>
    <sheetView tabSelected="1" topLeftCell="A62" zoomScaleNormal="100" workbookViewId="0">
      <selection activeCell="M44" sqref="M44"/>
    </sheetView>
  </sheetViews>
  <sheetFormatPr defaultColWidth="9.109375" defaultRowHeight="27.75" customHeight="1" x14ac:dyDescent="0.35"/>
  <cols>
    <col min="1" max="1" width="4.88671875" style="2" bestFit="1" customWidth="1"/>
    <col min="2" max="2" width="20" style="87" customWidth="1"/>
    <col min="3" max="3" width="26.6640625" style="1" bestFit="1" customWidth="1"/>
    <col min="4" max="4" width="24.88671875" style="1" bestFit="1" customWidth="1"/>
    <col min="5" max="5" width="8.88671875" style="1" customWidth="1"/>
    <col min="6" max="6" width="6.88671875" style="241" customWidth="1"/>
    <col min="7" max="7" width="7.33203125" style="238" customWidth="1"/>
    <col min="8" max="8" width="12.44140625" style="238" hidden="1" customWidth="1"/>
    <col min="9" max="9" width="12.109375" style="1" hidden="1" customWidth="1"/>
    <col min="10" max="10" width="9.109375" style="2"/>
    <col min="11" max="16384" width="9.109375" style="235"/>
  </cols>
  <sheetData>
    <row r="1" spans="1:10" s="236" customFormat="1" ht="27.75" customHeight="1" x14ac:dyDescent="0.25">
      <c r="A1" s="280" t="s">
        <v>598</v>
      </c>
      <c r="B1" s="280"/>
      <c r="C1" s="280"/>
      <c r="D1" s="280"/>
      <c r="E1" s="280"/>
      <c r="F1" s="280"/>
      <c r="G1" s="280"/>
      <c r="H1" s="280"/>
      <c r="I1" s="280"/>
      <c r="J1" s="239"/>
    </row>
    <row r="2" spans="1:10" s="237" customFormat="1" ht="27.75" customHeight="1" x14ac:dyDescent="0.25">
      <c r="A2" s="281"/>
      <c r="B2" s="281"/>
      <c r="C2" s="281"/>
      <c r="D2" s="281"/>
      <c r="E2" s="281"/>
      <c r="F2" s="281"/>
      <c r="G2" s="281"/>
      <c r="H2" s="281"/>
      <c r="I2" s="18"/>
      <c r="J2" s="2"/>
    </row>
    <row r="3" spans="1:10" s="237" customFormat="1" ht="66" x14ac:dyDescent="0.25">
      <c r="A3" s="242" t="s">
        <v>300</v>
      </c>
      <c r="B3" s="243" t="s">
        <v>510</v>
      </c>
      <c r="C3" s="244" t="s">
        <v>117</v>
      </c>
      <c r="D3" s="244" t="s">
        <v>575</v>
      </c>
      <c r="E3" s="244" t="s">
        <v>590</v>
      </c>
      <c r="F3" s="244" t="s">
        <v>591</v>
      </c>
      <c r="G3" s="244" t="s">
        <v>594</v>
      </c>
      <c r="H3" s="244" t="s">
        <v>592</v>
      </c>
      <c r="I3" s="244" t="s">
        <v>101</v>
      </c>
      <c r="J3" s="244" t="s">
        <v>597</v>
      </c>
    </row>
    <row r="4" spans="1:10" ht="18" x14ac:dyDescent="0.35">
      <c r="A4" s="245">
        <v>1</v>
      </c>
      <c r="B4" s="246" t="s">
        <v>564</v>
      </c>
      <c r="C4" s="246" t="s">
        <v>577</v>
      </c>
      <c r="D4" s="246" t="s">
        <v>576</v>
      </c>
      <c r="E4" s="240" t="s">
        <v>310</v>
      </c>
      <c r="F4" s="240" t="s">
        <v>310</v>
      </c>
      <c r="G4" s="240" t="s">
        <v>310</v>
      </c>
      <c r="H4" s="247"/>
      <c r="I4" s="119"/>
      <c r="J4" s="245" t="s">
        <v>310</v>
      </c>
    </row>
    <row r="5" spans="1:10" ht="18" x14ac:dyDescent="0.35">
      <c r="A5" s="245">
        <v>2</v>
      </c>
      <c r="B5" s="246" t="s">
        <v>561</v>
      </c>
      <c r="C5" s="246" t="s">
        <v>577</v>
      </c>
      <c r="D5" s="246" t="s">
        <v>576</v>
      </c>
      <c r="E5" s="240" t="s">
        <v>310</v>
      </c>
      <c r="F5" s="240" t="s">
        <v>310</v>
      </c>
      <c r="G5" s="240" t="s">
        <v>310</v>
      </c>
      <c r="H5" s="247"/>
      <c r="I5" s="119"/>
      <c r="J5" s="245" t="s">
        <v>310</v>
      </c>
    </row>
    <row r="6" spans="1:10" ht="18" x14ac:dyDescent="0.35">
      <c r="A6" s="245">
        <v>3</v>
      </c>
      <c r="B6" s="246" t="s">
        <v>389</v>
      </c>
      <c r="C6" s="246" t="s">
        <v>577</v>
      </c>
      <c r="D6" s="246" t="s">
        <v>576</v>
      </c>
      <c r="E6" s="240" t="s">
        <v>310</v>
      </c>
      <c r="F6" s="240" t="s">
        <v>310</v>
      </c>
      <c r="G6" s="240" t="s">
        <v>310</v>
      </c>
      <c r="H6" s="247"/>
      <c r="I6" s="119"/>
      <c r="J6" s="245" t="s">
        <v>310</v>
      </c>
    </row>
    <row r="7" spans="1:10" ht="18" x14ac:dyDescent="0.35">
      <c r="A7" s="245">
        <v>4</v>
      </c>
      <c r="B7" s="246" t="s">
        <v>562</v>
      </c>
      <c r="C7" s="246" t="s">
        <v>577</v>
      </c>
      <c r="D7" s="246" t="s">
        <v>576</v>
      </c>
      <c r="E7" s="240" t="s">
        <v>310</v>
      </c>
      <c r="F7" s="240" t="s">
        <v>310</v>
      </c>
      <c r="G7" s="240" t="s">
        <v>310</v>
      </c>
      <c r="H7" s="247"/>
      <c r="I7" s="119"/>
      <c r="J7" s="245" t="s">
        <v>310</v>
      </c>
    </row>
    <row r="8" spans="1:10" ht="18" x14ac:dyDescent="0.35">
      <c r="A8" s="245">
        <v>5</v>
      </c>
      <c r="B8" s="246" t="s">
        <v>107</v>
      </c>
      <c r="C8" s="246" t="s">
        <v>577</v>
      </c>
      <c r="D8" s="246" t="s">
        <v>576</v>
      </c>
      <c r="E8" s="240" t="s">
        <v>310</v>
      </c>
      <c r="F8" s="240" t="s">
        <v>310</v>
      </c>
      <c r="G8" s="240" t="s">
        <v>310</v>
      </c>
      <c r="H8" s="247"/>
      <c r="I8" s="119"/>
      <c r="J8" s="245" t="s">
        <v>310</v>
      </c>
    </row>
    <row r="9" spans="1:10" ht="18" x14ac:dyDescent="0.35">
      <c r="A9" s="245">
        <v>6</v>
      </c>
      <c r="B9" s="246" t="s">
        <v>251</v>
      </c>
      <c r="C9" s="246" t="s">
        <v>577</v>
      </c>
      <c r="D9" s="246" t="s">
        <v>576</v>
      </c>
      <c r="E9" s="240" t="s">
        <v>310</v>
      </c>
      <c r="F9" s="240" t="s">
        <v>310</v>
      </c>
      <c r="G9" s="240" t="s">
        <v>310</v>
      </c>
      <c r="H9" s="247"/>
      <c r="I9" s="119"/>
      <c r="J9" s="245" t="s">
        <v>310</v>
      </c>
    </row>
    <row r="10" spans="1:10" ht="18" x14ac:dyDescent="0.35">
      <c r="A10" s="245">
        <v>7</v>
      </c>
      <c r="B10" s="246" t="s">
        <v>563</v>
      </c>
      <c r="C10" s="246" t="s">
        <v>577</v>
      </c>
      <c r="D10" s="246" t="s">
        <v>576</v>
      </c>
      <c r="E10" s="240" t="s">
        <v>310</v>
      </c>
      <c r="F10" s="240" t="s">
        <v>310</v>
      </c>
      <c r="G10" s="240" t="s">
        <v>310</v>
      </c>
      <c r="H10" s="247"/>
      <c r="I10" s="119"/>
      <c r="J10" s="245" t="s">
        <v>310</v>
      </c>
    </row>
    <row r="11" spans="1:10" ht="18" x14ac:dyDescent="0.35">
      <c r="A11" s="245">
        <v>8</v>
      </c>
      <c r="B11" s="246" t="s">
        <v>384</v>
      </c>
      <c r="C11" s="246" t="s">
        <v>577</v>
      </c>
      <c r="D11" s="246" t="s">
        <v>576</v>
      </c>
      <c r="E11" s="240" t="s">
        <v>310</v>
      </c>
      <c r="F11" s="240" t="s">
        <v>310</v>
      </c>
      <c r="G11" s="240" t="s">
        <v>310</v>
      </c>
      <c r="H11" s="247"/>
      <c r="I11" s="119"/>
      <c r="J11" s="245" t="s">
        <v>310</v>
      </c>
    </row>
    <row r="12" spans="1:10" ht="18" x14ac:dyDescent="0.35">
      <c r="A12" s="245">
        <v>9</v>
      </c>
      <c r="B12" s="246" t="s">
        <v>379</v>
      </c>
      <c r="C12" s="246" t="s">
        <v>577</v>
      </c>
      <c r="D12" s="246" t="s">
        <v>576</v>
      </c>
      <c r="E12" s="240" t="s">
        <v>310</v>
      </c>
      <c r="F12" s="240" t="s">
        <v>310</v>
      </c>
      <c r="G12" s="240" t="s">
        <v>310</v>
      </c>
      <c r="H12" s="247"/>
      <c r="I12" s="119"/>
      <c r="J12" s="245" t="s">
        <v>310</v>
      </c>
    </row>
    <row r="13" spans="1:10" ht="18" x14ac:dyDescent="0.35">
      <c r="A13" s="245">
        <v>10</v>
      </c>
      <c r="B13" s="246" t="s">
        <v>565</v>
      </c>
      <c r="C13" s="246" t="s">
        <v>577</v>
      </c>
      <c r="D13" s="246" t="s">
        <v>576</v>
      </c>
      <c r="E13" s="240" t="s">
        <v>310</v>
      </c>
      <c r="F13" s="240" t="s">
        <v>310</v>
      </c>
      <c r="G13" s="240" t="s">
        <v>310</v>
      </c>
      <c r="H13" s="247"/>
      <c r="I13" s="119"/>
      <c r="J13" s="245" t="s">
        <v>310</v>
      </c>
    </row>
    <row r="14" spans="1:10" ht="18" x14ac:dyDescent="0.35">
      <c r="A14" s="245">
        <v>11</v>
      </c>
      <c r="B14" s="246" t="s">
        <v>574</v>
      </c>
      <c r="C14" s="246" t="s">
        <v>577</v>
      </c>
      <c r="D14" s="246" t="s">
        <v>576</v>
      </c>
      <c r="E14" s="240" t="s">
        <v>310</v>
      </c>
      <c r="F14" s="240" t="s">
        <v>310</v>
      </c>
      <c r="G14" s="240" t="s">
        <v>310</v>
      </c>
      <c r="H14" s="247"/>
      <c r="I14" s="119"/>
      <c r="J14" s="245" t="s">
        <v>310</v>
      </c>
    </row>
    <row r="15" spans="1:10" ht="18" x14ac:dyDescent="0.35">
      <c r="A15" s="245">
        <v>12</v>
      </c>
      <c r="B15" s="246" t="s">
        <v>511</v>
      </c>
      <c r="C15" s="246" t="s">
        <v>596</v>
      </c>
      <c r="D15" s="246" t="s">
        <v>578</v>
      </c>
      <c r="E15" s="240" t="s">
        <v>310</v>
      </c>
      <c r="F15" s="240" t="s">
        <v>309</v>
      </c>
      <c r="G15" s="240" t="s">
        <v>310</v>
      </c>
      <c r="H15" s="247"/>
      <c r="I15" s="119"/>
      <c r="J15" s="245" t="s">
        <v>310</v>
      </c>
    </row>
    <row r="16" spans="1:10" ht="18" x14ac:dyDescent="0.35">
      <c r="A16" s="245">
        <v>13</v>
      </c>
      <c r="B16" s="246" t="s">
        <v>519</v>
      </c>
      <c r="C16" s="246" t="s">
        <v>588</v>
      </c>
      <c r="D16" s="246" t="s">
        <v>578</v>
      </c>
      <c r="E16" s="240" t="s">
        <v>310</v>
      </c>
      <c r="F16" s="240" t="s">
        <v>309</v>
      </c>
      <c r="G16" s="240" t="s">
        <v>310</v>
      </c>
      <c r="H16" s="247"/>
      <c r="I16" s="119"/>
      <c r="J16" s="245" t="s">
        <v>310</v>
      </c>
    </row>
    <row r="17" spans="1:10" ht="18" x14ac:dyDescent="0.35">
      <c r="A17" s="245">
        <v>14</v>
      </c>
      <c r="B17" s="246" t="s">
        <v>586</v>
      </c>
      <c r="C17" s="246" t="s">
        <v>587</v>
      </c>
      <c r="D17" s="246" t="s">
        <v>578</v>
      </c>
      <c r="E17" s="240" t="s">
        <v>310</v>
      </c>
      <c r="F17" s="240" t="s">
        <v>309</v>
      </c>
      <c r="G17" s="240" t="s">
        <v>310</v>
      </c>
      <c r="H17" s="247"/>
      <c r="I17" s="119"/>
      <c r="J17" s="245" t="s">
        <v>310</v>
      </c>
    </row>
    <row r="18" spans="1:10" ht="18" x14ac:dyDescent="0.35">
      <c r="A18" s="245">
        <v>15</v>
      </c>
      <c r="B18" s="246" t="s">
        <v>540</v>
      </c>
      <c r="C18" s="246" t="s">
        <v>587</v>
      </c>
      <c r="D18" s="246" t="s">
        <v>578</v>
      </c>
      <c r="E18" s="240" t="s">
        <v>310</v>
      </c>
      <c r="F18" s="240" t="s">
        <v>309</v>
      </c>
      <c r="G18" s="240" t="s">
        <v>310</v>
      </c>
      <c r="H18" s="247"/>
      <c r="I18" s="119"/>
      <c r="J18" s="245" t="s">
        <v>310</v>
      </c>
    </row>
    <row r="19" spans="1:10" ht="18" x14ac:dyDescent="0.35">
      <c r="A19" s="245">
        <v>16</v>
      </c>
      <c r="B19" s="246" t="s">
        <v>521</v>
      </c>
      <c r="C19" s="246" t="s">
        <v>588</v>
      </c>
      <c r="D19" s="246" t="s">
        <v>578</v>
      </c>
      <c r="E19" s="240" t="s">
        <v>310</v>
      </c>
      <c r="F19" s="240" t="s">
        <v>310</v>
      </c>
      <c r="G19" s="240" t="s">
        <v>310</v>
      </c>
      <c r="H19" s="247"/>
      <c r="I19" s="119"/>
      <c r="J19" s="245" t="s">
        <v>310</v>
      </c>
    </row>
    <row r="20" spans="1:10" ht="18" x14ac:dyDescent="0.35">
      <c r="A20" s="245">
        <v>17</v>
      </c>
      <c r="B20" s="246" t="s">
        <v>546</v>
      </c>
      <c r="C20" s="246" t="s">
        <v>588</v>
      </c>
      <c r="D20" s="246" t="s">
        <v>578</v>
      </c>
      <c r="E20" s="240" t="s">
        <v>310</v>
      </c>
      <c r="F20" s="240" t="s">
        <v>309</v>
      </c>
      <c r="G20" s="240" t="s">
        <v>309</v>
      </c>
      <c r="H20" s="247"/>
      <c r="I20" s="119"/>
      <c r="J20" s="245" t="s">
        <v>309</v>
      </c>
    </row>
    <row r="21" spans="1:10" ht="18" x14ac:dyDescent="0.35">
      <c r="A21" s="245">
        <v>18</v>
      </c>
      <c r="B21" s="246" t="s">
        <v>547</v>
      </c>
      <c r="C21" s="246" t="s">
        <v>588</v>
      </c>
      <c r="D21" s="246" t="s">
        <v>578</v>
      </c>
      <c r="E21" s="240" t="s">
        <v>310</v>
      </c>
      <c r="F21" s="240" t="s">
        <v>309</v>
      </c>
      <c r="G21" s="240" t="s">
        <v>310</v>
      </c>
      <c r="H21" s="247"/>
      <c r="I21" s="119"/>
      <c r="J21" s="245" t="s">
        <v>310</v>
      </c>
    </row>
    <row r="22" spans="1:10" ht="18" x14ac:dyDescent="0.35">
      <c r="A22" s="245">
        <v>19</v>
      </c>
      <c r="B22" s="246" t="s">
        <v>568</v>
      </c>
      <c r="C22" s="246" t="s">
        <v>588</v>
      </c>
      <c r="D22" s="246" t="s">
        <v>578</v>
      </c>
      <c r="E22" s="240" t="s">
        <v>310</v>
      </c>
      <c r="F22" s="240" t="s">
        <v>309</v>
      </c>
      <c r="G22" s="240" t="s">
        <v>310</v>
      </c>
      <c r="H22" s="247"/>
      <c r="I22" s="119"/>
      <c r="J22" s="245" t="s">
        <v>310</v>
      </c>
    </row>
    <row r="23" spans="1:10" ht="18" x14ac:dyDescent="0.35">
      <c r="A23" s="245">
        <v>20</v>
      </c>
      <c r="B23" s="246" t="s">
        <v>572</v>
      </c>
      <c r="C23" s="246" t="s">
        <v>588</v>
      </c>
      <c r="D23" s="246" t="s">
        <v>578</v>
      </c>
      <c r="E23" s="240" t="s">
        <v>310</v>
      </c>
      <c r="F23" s="240" t="s">
        <v>309</v>
      </c>
      <c r="G23" s="240" t="s">
        <v>309</v>
      </c>
      <c r="H23" s="247"/>
      <c r="I23" s="119"/>
      <c r="J23" s="245" t="s">
        <v>309</v>
      </c>
    </row>
    <row r="24" spans="1:10" ht="18" x14ac:dyDescent="0.35">
      <c r="A24" s="245">
        <v>21</v>
      </c>
      <c r="B24" s="246" t="s">
        <v>545</v>
      </c>
      <c r="C24" s="246" t="s">
        <v>596</v>
      </c>
      <c r="D24" s="246" t="s">
        <v>579</v>
      </c>
      <c r="E24" s="240" t="s">
        <v>310</v>
      </c>
      <c r="F24" s="240" t="s">
        <v>310</v>
      </c>
      <c r="G24" s="240" t="s">
        <v>310</v>
      </c>
      <c r="H24" s="247"/>
      <c r="I24" s="119"/>
      <c r="J24" s="245" t="s">
        <v>310</v>
      </c>
    </row>
    <row r="25" spans="1:10" ht="18" x14ac:dyDescent="0.35">
      <c r="A25" s="245">
        <v>22</v>
      </c>
      <c r="B25" s="246" t="s">
        <v>530</v>
      </c>
      <c r="C25" s="246" t="s">
        <v>587</v>
      </c>
      <c r="D25" s="246" t="s">
        <v>579</v>
      </c>
      <c r="E25" s="240" t="s">
        <v>310</v>
      </c>
      <c r="F25" s="240" t="s">
        <v>309</v>
      </c>
      <c r="G25" s="240" t="s">
        <v>309</v>
      </c>
      <c r="H25" s="247"/>
      <c r="I25" s="119"/>
      <c r="J25" s="245" t="s">
        <v>309</v>
      </c>
    </row>
    <row r="26" spans="1:10" ht="18" x14ac:dyDescent="0.35">
      <c r="A26" s="245">
        <v>23</v>
      </c>
      <c r="B26" s="246" t="s">
        <v>551</v>
      </c>
      <c r="C26" s="246" t="s">
        <v>587</v>
      </c>
      <c r="D26" s="246" t="s">
        <v>579</v>
      </c>
      <c r="E26" s="240" t="s">
        <v>310</v>
      </c>
      <c r="F26" s="240" t="s">
        <v>310</v>
      </c>
      <c r="G26" s="240" t="s">
        <v>310</v>
      </c>
      <c r="H26" s="247"/>
      <c r="I26" s="119"/>
      <c r="J26" s="245" t="s">
        <v>310</v>
      </c>
    </row>
    <row r="27" spans="1:10" ht="18" x14ac:dyDescent="0.35">
      <c r="A27" s="245">
        <v>24</v>
      </c>
      <c r="B27" s="246" t="s">
        <v>535</v>
      </c>
      <c r="C27" s="246" t="s">
        <v>588</v>
      </c>
      <c r="D27" s="246" t="s">
        <v>579</v>
      </c>
      <c r="E27" s="240" t="s">
        <v>310</v>
      </c>
      <c r="F27" s="240" t="s">
        <v>310</v>
      </c>
      <c r="G27" s="240" t="s">
        <v>310</v>
      </c>
      <c r="H27" s="247"/>
      <c r="I27" s="119"/>
      <c r="J27" s="245" t="s">
        <v>310</v>
      </c>
    </row>
    <row r="28" spans="1:10" ht="18" x14ac:dyDescent="0.35">
      <c r="A28" s="245">
        <v>25</v>
      </c>
      <c r="B28" s="246" t="s">
        <v>522</v>
      </c>
      <c r="C28" s="246" t="s">
        <v>587</v>
      </c>
      <c r="D28" s="246" t="s">
        <v>579</v>
      </c>
      <c r="E28" s="240" t="s">
        <v>310</v>
      </c>
      <c r="F28" s="240" t="s">
        <v>310</v>
      </c>
      <c r="G28" s="240" t="s">
        <v>310</v>
      </c>
      <c r="H28" s="247"/>
      <c r="I28" s="119"/>
      <c r="J28" s="245" t="s">
        <v>310</v>
      </c>
    </row>
    <row r="29" spans="1:10" ht="18" x14ac:dyDescent="0.35">
      <c r="A29" s="245">
        <v>26</v>
      </c>
      <c r="B29" s="246" t="s">
        <v>527</v>
      </c>
      <c r="C29" s="246" t="s">
        <v>588</v>
      </c>
      <c r="D29" s="246" t="s">
        <v>579</v>
      </c>
      <c r="E29" s="240" t="s">
        <v>310</v>
      </c>
      <c r="F29" s="240" t="s">
        <v>309</v>
      </c>
      <c r="G29" s="240" t="s">
        <v>309</v>
      </c>
      <c r="H29" s="247"/>
      <c r="I29" s="119"/>
      <c r="J29" s="245" t="s">
        <v>309</v>
      </c>
    </row>
    <row r="30" spans="1:10" ht="18" x14ac:dyDescent="0.35">
      <c r="A30" s="245">
        <v>27</v>
      </c>
      <c r="B30" s="246" t="s">
        <v>276</v>
      </c>
      <c r="C30" s="246" t="s">
        <v>529</v>
      </c>
      <c r="D30" s="246" t="s">
        <v>580</v>
      </c>
      <c r="E30" s="240" t="s">
        <v>310</v>
      </c>
      <c r="F30" s="240" t="s">
        <v>309</v>
      </c>
      <c r="G30" s="240" t="s">
        <v>310</v>
      </c>
      <c r="H30" s="247"/>
      <c r="I30" s="119"/>
      <c r="J30" s="245" t="s">
        <v>310</v>
      </c>
    </row>
    <row r="31" spans="1:10" ht="18" x14ac:dyDescent="0.35">
      <c r="A31" s="245">
        <v>28</v>
      </c>
      <c r="B31" s="246" t="s">
        <v>531</v>
      </c>
      <c r="C31" s="246" t="s">
        <v>596</v>
      </c>
      <c r="D31" s="246" t="s">
        <v>580</v>
      </c>
      <c r="E31" s="240" t="s">
        <v>310</v>
      </c>
      <c r="F31" s="240" t="s">
        <v>309</v>
      </c>
      <c r="G31" s="240" t="s">
        <v>310</v>
      </c>
      <c r="H31" s="247"/>
      <c r="I31" s="119"/>
      <c r="J31" s="245" t="s">
        <v>310</v>
      </c>
    </row>
    <row r="32" spans="1:10" ht="18" x14ac:dyDescent="0.35">
      <c r="A32" s="245">
        <v>29</v>
      </c>
      <c r="B32" s="246" t="s">
        <v>473</v>
      </c>
      <c r="C32" s="246" t="s">
        <v>595</v>
      </c>
      <c r="D32" s="246" t="s">
        <v>580</v>
      </c>
      <c r="E32" s="240" t="s">
        <v>310</v>
      </c>
      <c r="F32" s="240" t="s">
        <v>309</v>
      </c>
      <c r="G32" s="240" t="s">
        <v>309</v>
      </c>
      <c r="H32" s="247"/>
      <c r="I32" s="119"/>
      <c r="J32" s="245" t="s">
        <v>309</v>
      </c>
    </row>
    <row r="33" spans="1:10" ht="18" x14ac:dyDescent="0.35">
      <c r="A33" s="245">
        <v>30</v>
      </c>
      <c r="B33" s="246" t="s">
        <v>548</v>
      </c>
      <c r="C33" s="246" t="s">
        <v>588</v>
      </c>
      <c r="D33" s="246" t="s">
        <v>580</v>
      </c>
      <c r="E33" s="240" t="s">
        <v>310</v>
      </c>
      <c r="F33" s="240" t="s">
        <v>309</v>
      </c>
      <c r="G33" s="240" t="s">
        <v>309</v>
      </c>
      <c r="H33" s="247"/>
      <c r="I33" s="119"/>
      <c r="J33" s="245" t="s">
        <v>309</v>
      </c>
    </row>
    <row r="34" spans="1:10" ht="18" x14ac:dyDescent="0.35">
      <c r="A34" s="245">
        <v>31</v>
      </c>
      <c r="B34" s="246" t="s">
        <v>539</v>
      </c>
      <c r="C34" s="246" t="s">
        <v>587</v>
      </c>
      <c r="D34" s="246" t="s">
        <v>580</v>
      </c>
      <c r="E34" s="240" t="s">
        <v>310</v>
      </c>
      <c r="F34" s="240" t="s">
        <v>310</v>
      </c>
      <c r="G34" s="240" t="s">
        <v>310</v>
      </c>
      <c r="H34" s="248" t="s">
        <v>310</v>
      </c>
      <c r="I34" s="248" t="s">
        <v>310</v>
      </c>
      <c r="J34" s="245" t="s">
        <v>310</v>
      </c>
    </row>
    <row r="35" spans="1:10" ht="18" x14ac:dyDescent="0.35">
      <c r="A35" s="245">
        <v>32</v>
      </c>
      <c r="B35" s="246" t="s">
        <v>472</v>
      </c>
      <c r="C35" s="246" t="s">
        <v>588</v>
      </c>
      <c r="D35" s="246" t="s">
        <v>580</v>
      </c>
      <c r="E35" s="240" t="s">
        <v>310</v>
      </c>
      <c r="F35" s="240" t="s">
        <v>309</v>
      </c>
      <c r="G35" s="240" t="s">
        <v>310</v>
      </c>
      <c r="H35" s="247"/>
      <c r="I35" s="119"/>
      <c r="J35" s="245" t="s">
        <v>310</v>
      </c>
    </row>
    <row r="36" spans="1:10" ht="18" x14ac:dyDescent="0.35">
      <c r="A36" s="245">
        <v>33</v>
      </c>
      <c r="B36" s="246" t="s">
        <v>534</v>
      </c>
      <c r="C36" s="246" t="s">
        <v>588</v>
      </c>
      <c r="D36" s="246" t="s">
        <v>580</v>
      </c>
      <c r="E36" s="240" t="s">
        <v>310</v>
      </c>
      <c r="F36" s="240" t="s">
        <v>309</v>
      </c>
      <c r="G36" s="240" t="s">
        <v>310</v>
      </c>
      <c r="H36" s="247"/>
      <c r="I36" s="119"/>
      <c r="J36" s="245" t="s">
        <v>310</v>
      </c>
    </row>
    <row r="37" spans="1:10" ht="18" x14ac:dyDescent="0.35">
      <c r="A37" s="245">
        <v>34</v>
      </c>
      <c r="B37" s="246" t="s">
        <v>544</v>
      </c>
      <c r="C37" s="246" t="s">
        <v>588</v>
      </c>
      <c r="D37" s="246" t="s">
        <v>580</v>
      </c>
      <c r="E37" s="240" t="s">
        <v>310</v>
      </c>
      <c r="F37" s="240" t="s">
        <v>310</v>
      </c>
      <c r="G37" s="240" t="s">
        <v>310</v>
      </c>
      <c r="H37" s="247"/>
      <c r="I37" s="119"/>
      <c r="J37" s="245" t="s">
        <v>310</v>
      </c>
    </row>
    <row r="38" spans="1:10" ht="18" x14ac:dyDescent="0.35">
      <c r="A38" s="245">
        <v>35</v>
      </c>
      <c r="B38" s="246" t="s">
        <v>557</v>
      </c>
      <c r="C38" s="246" t="s">
        <v>587</v>
      </c>
      <c r="D38" s="246" t="s">
        <v>580</v>
      </c>
      <c r="E38" s="240" t="s">
        <v>310</v>
      </c>
      <c r="F38" s="240" t="s">
        <v>309</v>
      </c>
      <c r="G38" s="240" t="s">
        <v>310</v>
      </c>
      <c r="H38" s="247"/>
      <c r="I38" s="119"/>
      <c r="J38" s="245" t="s">
        <v>310</v>
      </c>
    </row>
    <row r="39" spans="1:10" ht="18" x14ac:dyDescent="0.35">
      <c r="A39" s="245">
        <v>36</v>
      </c>
      <c r="B39" s="246" t="s">
        <v>314</v>
      </c>
      <c r="C39" s="246" t="s">
        <v>588</v>
      </c>
      <c r="D39" s="246" t="s">
        <v>581</v>
      </c>
      <c r="E39" s="240" t="s">
        <v>310</v>
      </c>
      <c r="F39" s="240" t="s">
        <v>309</v>
      </c>
      <c r="G39" s="240" t="s">
        <v>309</v>
      </c>
      <c r="H39" s="247"/>
      <c r="I39" s="119"/>
      <c r="J39" s="245" t="s">
        <v>309</v>
      </c>
    </row>
    <row r="40" spans="1:10" ht="18" x14ac:dyDescent="0.35">
      <c r="A40" s="245">
        <v>37</v>
      </c>
      <c r="B40" s="246" t="s">
        <v>533</v>
      </c>
      <c r="C40" s="246" t="s">
        <v>588</v>
      </c>
      <c r="D40" s="246" t="s">
        <v>581</v>
      </c>
      <c r="E40" s="240" t="s">
        <v>310</v>
      </c>
      <c r="F40" s="240" t="s">
        <v>309</v>
      </c>
      <c r="G40" s="240" t="s">
        <v>310</v>
      </c>
      <c r="H40" s="247"/>
      <c r="I40" s="119"/>
      <c r="J40" s="245" t="s">
        <v>310</v>
      </c>
    </row>
    <row r="41" spans="1:10" ht="18" x14ac:dyDescent="0.35">
      <c r="A41" s="245">
        <v>38</v>
      </c>
      <c r="B41" s="246" t="s">
        <v>516</v>
      </c>
      <c r="C41" s="246" t="s">
        <v>588</v>
      </c>
      <c r="D41" s="246" t="s">
        <v>581</v>
      </c>
      <c r="E41" s="240" t="s">
        <v>310</v>
      </c>
      <c r="F41" s="240" t="s">
        <v>309</v>
      </c>
      <c r="G41" s="240" t="s">
        <v>310</v>
      </c>
      <c r="H41" s="247"/>
      <c r="I41" s="119"/>
      <c r="J41" s="245" t="s">
        <v>310</v>
      </c>
    </row>
    <row r="42" spans="1:10" ht="18" x14ac:dyDescent="0.35">
      <c r="A42" s="245">
        <v>39</v>
      </c>
      <c r="B42" s="246" t="s">
        <v>567</v>
      </c>
      <c r="C42" s="246" t="s">
        <v>588</v>
      </c>
      <c r="D42" s="246" t="s">
        <v>581</v>
      </c>
      <c r="E42" s="240"/>
      <c r="F42" s="240" t="s">
        <v>492</v>
      </c>
      <c r="G42" s="240" t="s">
        <v>492</v>
      </c>
      <c r="H42" s="247"/>
      <c r="I42" s="119"/>
      <c r="J42" s="245" t="s">
        <v>492</v>
      </c>
    </row>
    <row r="43" spans="1:10" ht="18" x14ac:dyDescent="0.35">
      <c r="A43" s="245">
        <v>40</v>
      </c>
      <c r="B43" s="246" t="s">
        <v>549</v>
      </c>
      <c r="C43" s="246" t="s">
        <v>588</v>
      </c>
      <c r="D43" s="246" t="s">
        <v>581</v>
      </c>
      <c r="E43" s="240" t="s">
        <v>310</v>
      </c>
      <c r="F43" s="240" t="s">
        <v>309</v>
      </c>
      <c r="G43" s="240" t="s">
        <v>310</v>
      </c>
      <c r="H43" s="247"/>
      <c r="I43" s="119"/>
      <c r="J43" s="245" t="s">
        <v>310</v>
      </c>
    </row>
    <row r="44" spans="1:10" ht="18" x14ac:dyDescent="0.35">
      <c r="A44" s="245">
        <v>41</v>
      </c>
      <c r="B44" s="246" t="s">
        <v>550</v>
      </c>
      <c r="C44" s="246" t="s">
        <v>587</v>
      </c>
      <c r="D44" s="246" t="s">
        <v>581</v>
      </c>
      <c r="E44" s="240" t="s">
        <v>310</v>
      </c>
      <c r="F44" s="240" t="s">
        <v>309</v>
      </c>
      <c r="G44" s="240" t="s">
        <v>309</v>
      </c>
      <c r="H44" s="247"/>
      <c r="I44" s="119"/>
      <c r="J44" s="245" t="s">
        <v>309</v>
      </c>
    </row>
    <row r="45" spans="1:10" ht="18" x14ac:dyDescent="0.35">
      <c r="A45" s="245">
        <v>42</v>
      </c>
      <c r="B45" s="246" t="s">
        <v>552</v>
      </c>
      <c r="C45" s="246" t="s">
        <v>588</v>
      </c>
      <c r="D45" s="246" t="s">
        <v>581</v>
      </c>
      <c r="E45" s="240" t="s">
        <v>310</v>
      </c>
      <c r="F45" s="240" t="s">
        <v>309</v>
      </c>
      <c r="G45" s="240" t="s">
        <v>310</v>
      </c>
      <c r="H45" s="247"/>
      <c r="I45" s="119"/>
      <c r="J45" s="245" t="s">
        <v>310</v>
      </c>
    </row>
    <row r="46" spans="1:10" ht="18" x14ac:dyDescent="0.35">
      <c r="A46" s="245">
        <v>43</v>
      </c>
      <c r="B46" s="246" t="s">
        <v>553</v>
      </c>
      <c r="C46" s="246" t="s">
        <v>588</v>
      </c>
      <c r="D46" s="246" t="s">
        <v>581</v>
      </c>
      <c r="E46" s="240" t="s">
        <v>310</v>
      </c>
      <c r="F46" s="240" t="s">
        <v>309</v>
      </c>
      <c r="G46" s="240" t="s">
        <v>310</v>
      </c>
      <c r="H46" s="247"/>
      <c r="I46" s="119"/>
      <c r="J46" s="245" t="s">
        <v>310</v>
      </c>
    </row>
    <row r="47" spans="1:10" ht="18" x14ac:dyDescent="0.35">
      <c r="A47" s="245">
        <v>44</v>
      </c>
      <c r="B47" s="246" t="s">
        <v>554</v>
      </c>
      <c r="C47" s="246" t="s">
        <v>588</v>
      </c>
      <c r="D47" s="246" t="s">
        <v>581</v>
      </c>
      <c r="E47" s="240" t="s">
        <v>310</v>
      </c>
      <c r="F47" s="240" t="s">
        <v>310</v>
      </c>
      <c r="G47" s="240" t="s">
        <v>310</v>
      </c>
      <c r="H47" s="247"/>
      <c r="I47" s="119"/>
      <c r="J47" s="245" t="s">
        <v>310</v>
      </c>
    </row>
    <row r="48" spans="1:10" ht="18" x14ac:dyDescent="0.35">
      <c r="A48" s="245">
        <v>45</v>
      </c>
      <c r="B48" s="246" t="s">
        <v>569</v>
      </c>
      <c r="C48" s="246" t="s">
        <v>588</v>
      </c>
      <c r="D48" s="246" t="s">
        <v>581</v>
      </c>
      <c r="E48" s="240" t="s">
        <v>310</v>
      </c>
      <c r="F48" s="240" t="s">
        <v>310</v>
      </c>
      <c r="G48" s="240" t="s">
        <v>492</v>
      </c>
      <c r="H48" s="247"/>
      <c r="I48" s="119"/>
      <c r="J48" s="245" t="s">
        <v>492</v>
      </c>
    </row>
    <row r="49" spans="1:10" ht="18" x14ac:dyDescent="0.35">
      <c r="A49" s="245">
        <v>46</v>
      </c>
      <c r="B49" s="246" t="s">
        <v>536</v>
      </c>
      <c r="C49" s="246" t="s">
        <v>588</v>
      </c>
      <c r="D49" s="246" t="s">
        <v>582</v>
      </c>
      <c r="E49" s="240" t="s">
        <v>492</v>
      </c>
      <c r="F49" s="240" t="s">
        <v>310</v>
      </c>
      <c r="G49" s="240" t="s">
        <v>310</v>
      </c>
      <c r="H49" s="247"/>
      <c r="I49" s="119"/>
      <c r="J49" s="245" t="s">
        <v>310</v>
      </c>
    </row>
    <row r="50" spans="1:10" ht="18" x14ac:dyDescent="0.35">
      <c r="A50" s="245">
        <v>47</v>
      </c>
      <c r="B50" s="246" t="s">
        <v>556</v>
      </c>
      <c r="C50" s="246" t="s">
        <v>588</v>
      </c>
      <c r="D50" s="246" t="s">
        <v>582</v>
      </c>
      <c r="E50" s="240" t="s">
        <v>309</v>
      </c>
      <c r="F50" s="240" t="s">
        <v>310</v>
      </c>
      <c r="G50" s="240" t="s">
        <v>310</v>
      </c>
      <c r="H50" s="247"/>
      <c r="I50" s="119"/>
      <c r="J50" s="245" t="s">
        <v>310</v>
      </c>
    </row>
    <row r="51" spans="1:10" ht="18" x14ac:dyDescent="0.35">
      <c r="A51" s="245">
        <v>48</v>
      </c>
      <c r="B51" s="246" t="s">
        <v>518</v>
      </c>
      <c r="C51" s="246" t="s">
        <v>588</v>
      </c>
      <c r="D51" s="246" t="s">
        <v>582</v>
      </c>
      <c r="E51" s="240" t="s">
        <v>310</v>
      </c>
      <c r="F51" s="240" t="s">
        <v>309</v>
      </c>
      <c r="G51" s="240" t="s">
        <v>309</v>
      </c>
      <c r="H51" s="247"/>
      <c r="I51" s="119"/>
      <c r="J51" s="245" t="s">
        <v>309</v>
      </c>
    </row>
    <row r="52" spans="1:10" ht="18" x14ac:dyDescent="0.35">
      <c r="A52" s="245">
        <v>49</v>
      </c>
      <c r="B52" s="246" t="s">
        <v>555</v>
      </c>
      <c r="C52" s="246" t="s">
        <v>587</v>
      </c>
      <c r="D52" s="246" t="s">
        <v>582</v>
      </c>
      <c r="E52" s="240" t="s">
        <v>310</v>
      </c>
      <c r="F52" s="240" t="s">
        <v>310</v>
      </c>
      <c r="G52" s="240" t="s">
        <v>310</v>
      </c>
      <c r="H52" s="247"/>
      <c r="I52" s="119"/>
      <c r="J52" s="245" t="s">
        <v>310</v>
      </c>
    </row>
    <row r="53" spans="1:10" ht="18" x14ac:dyDescent="0.35">
      <c r="A53" s="245">
        <v>50</v>
      </c>
      <c r="B53" s="246" t="s">
        <v>558</v>
      </c>
      <c r="C53" s="246" t="s">
        <v>587</v>
      </c>
      <c r="D53" s="246" t="s">
        <v>582</v>
      </c>
      <c r="E53" s="240" t="s">
        <v>310</v>
      </c>
      <c r="F53" s="240" t="s">
        <v>310</v>
      </c>
      <c r="G53" s="240" t="s">
        <v>310</v>
      </c>
      <c r="H53" s="247"/>
      <c r="I53" s="119"/>
      <c r="J53" s="245" t="s">
        <v>310</v>
      </c>
    </row>
    <row r="54" spans="1:10" ht="18" x14ac:dyDescent="0.35">
      <c r="A54" s="245">
        <v>51</v>
      </c>
      <c r="B54" s="246" t="s">
        <v>528</v>
      </c>
      <c r="C54" s="246" t="s">
        <v>588</v>
      </c>
      <c r="D54" s="246" t="s">
        <v>582</v>
      </c>
      <c r="E54" s="240" t="s">
        <v>309</v>
      </c>
      <c r="F54" s="240" t="s">
        <v>309</v>
      </c>
      <c r="G54" s="240" t="s">
        <v>310</v>
      </c>
      <c r="H54" s="247"/>
      <c r="I54" s="119"/>
      <c r="J54" s="245" t="s">
        <v>310</v>
      </c>
    </row>
    <row r="55" spans="1:10" ht="18" x14ac:dyDescent="0.35">
      <c r="A55" s="245">
        <v>52</v>
      </c>
      <c r="B55" s="246" t="s">
        <v>559</v>
      </c>
      <c r="C55" s="246" t="s">
        <v>587</v>
      </c>
      <c r="D55" s="246" t="s">
        <v>582</v>
      </c>
      <c r="E55" s="240" t="s">
        <v>310</v>
      </c>
      <c r="F55" s="240" t="s">
        <v>309</v>
      </c>
      <c r="G55" s="240" t="s">
        <v>309</v>
      </c>
      <c r="H55" s="247"/>
      <c r="I55" s="119"/>
      <c r="J55" s="245" t="s">
        <v>309</v>
      </c>
    </row>
    <row r="56" spans="1:10" ht="18" x14ac:dyDescent="0.35">
      <c r="A56" s="245">
        <v>53</v>
      </c>
      <c r="B56" s="246" t="s">
        <v>560</v>
      </c>
      <c r="C56" s="246" t="s">
        <v>588</v>
      </c>
      <c r="D56" s="246" t="s">
        <v>582</v>
      </c>
      <c r="E56" s="240" t="s">
        <v>310</v>
      </c>
      <c r="F56" s="240" t="s">
        <v>310</v>
      </c>
      <c r="G56" s="240" t="s">
        <v>492</v>
      </c>
      <c r="H56" s="247"/>
      <c r="I56" s="119"/>
      <c r="J56" s="245" t="s">
        <v>492</v>
      </c>
    </row>
    <row r="57" spans="1:10" ht="18" x14ac:dyDescent="0.35">
      <c r="A57" s="245">
        <v>54</v>
      </c>
      <c r="B57" s="246" t="s">
        <v>108</v>
      </c>
      <c r="C57" s="246" t="s">
        <v>595</v>
      </c>
      <c r="D57" s="246" t="s">
        <v>583</v>
      </c>
      <c r="E57" s="240" t="s">
        <v>310</v>
      </c>
      <c r="F57" s="240" t="s">
        <v>310</v>
      </c>
      <c r="G57" s="240" t="s">
        <v>309</v>
      </c>
      <c r="H57" s="247"/>
      <c r="I57" s="119"/>
      <c r="J57" s="245" t="s">
        <v>309</v>
      </c>
    </row>
    <row r="58" spans="1:10" ht="18" x14ac:dyDescent="0.35">
      <c r="A58" s="245">
        <v>55</v>
      </c>
      <c r="B58" s="246" t="s">
        <v>571</v>
      </c>
      <c r="C58" s="246" t="s">
        <v>588</v>
      </c>
      <c r="D58" s="246" t="s">
        <v>583</v>
      </c>
      <c r="E58" s="240" t="s">
        <v>310</v>
      </c>
      <c r="F58" s="240" t="s">
        <v>310</v>
      </c>
      <c r="G58" s="240" t="s">
        <v>310</v>
      </c>
      <c r="H58" s="247"/>
      <c r="I58" s="119"/>
      <c r="J58" s="245" t="s">
        <v>310</v>
      </c>
    </row>
    <row r="59" spans="1:10" ht="18" x14ac:dyDescent="0.35">
      <c r="A59" s="245">
        <v>56</v>
      </c>
      <c r="B59" s="246" t="s">
        <v>523</v>
      </c>
      <c r="C59" s="246" t="s">
        <v>587</v>
      </c>
      <c r="D59" s="246" t="s">
        <v>583</v>
      </c>
      <c r="E59" s="240" t="s">
        <v>310</v>
      </c>
      <c r="F59" s="240" t="s">
        <v>310</v>
      </c>
      <c r="G59" s="240" t="s">
        <v>310</v>
      </c>
      <c r="H59" s="247"/>
      <c r="I59" s="119"/>
      <c r="J59" s="245" t="s">
        <v>310</v>
      </c>
    </row>
    <row r="60" spans="1:10" ht="18" x14ac:dyDescent="0.35">
      <c r="A60" s="245">
        <v>57</v>
      </c>
      <c r="B60" s="246" t="s">
        <v>520</v>
      </c>
      <c r="C60" s="246" t="s">
        <v>588</v>
      </c>
      <c r="D60" s="246" t="s">
        <v>583</v>
      </c>
      <c r="E60" s="240" t="s">
        <v>310</v>
      </c>
      <c r="F60" s="240" t="s">
        <v>310</v>
      </c>
      <c r="G60" s="240" t="s">
        <v>310</v>
      </c>
      <c r="H60" s="247"/>
      <c r="I60" s="119"/>
      <c r="J60" s="245" t="s">
        <v>310</v>
      </c>
    </row>
    <row r="61" spans="1:10" ht="18" x14ac:dyDescent="0.35">
      <c r="A61" s="245">
        <v>58</v>
      </c>
      <c r="B61" s="246" t="s">
        <v>532</v>
      </c>
      <c r="C61" s="246" t="s">
        <v>588</v>
      </c>
      <c r="D61" s="246" t="s">
        <v>583</v>
      </c>
      <c r="E61" s="240" t="s">
        <v>310</v>
      </c>
      <c r="F61" s="240" t="s">
        <v>492</v>
      </c>
      <c r="G61" s="240" t="s">
        <v>492</v>
      </c>
      <c r="H61" s="247"/>
      <c r="I61" s="119"/>
      <c r="J61" s="245" t="s">
        <v>492</v>
      </c>
    </row>
    <row r="62" spans="1:10" ht="18" x14ac:dyDescent="0.35">
      <c r="A62" s="245">
        <v>59</v>
      </c>
      <c r="B62" s="246" t="s">
        <v>513</v>
      </c>
      <c r="C62" s="246" t="s">
        <v>595</v>
      </c>
      <c r="D62" s="246" t="s">
        <v>584</v>
      </c>
      <c r="E62" s="240" t="s">
        <v>310</v>
      </c>
      <c r="F62" s="240" t="s">
        <v>310</v>
      </c>
      <c r="G62" s="240" t="s">
        <v>310</v>
      </c>
      <c r="H62" s="247"/>
      <c r="I62" s="119"/>
      <c r="J62" s="245" t="s">
        <v>310</v>
      </c>
    </row>
    <row r="63" spans="1:10" ht="18" x14ac:dyDescent="0.35">
      <c r="A63" s="245">
        <v>60</v>
      </c>
      <c r="B63" s="246" t="s">
        <v>517</v>
      </c>
      <c r="C63" s="246" t="s">
        <v>588</v>
      </c>
      <c r="D63" s="246" t="s">
        <v>584</v>
      </c>
      <c r="E63" s="240" t="s">
        <v>310</v>
      </c>
      <c r="F63" s="240" t="s">
        <v>310</v>
      </c>
      <c r="G63" s="240" t="s">
        <v>309</v>
      </c>
      <c r="H63" s="247"/>
      <c r="I63" s="119"/>
      <c r="J63" s="245" t="s">
        <v>309</v>
      </c>
    </row>
    <row r="64" spans="1:10" ht="18" x14ac:dyDescent="0.35">
      <c r="A64" s="245">
        <v>61</v>
      </c>
      <c r="B64" s="246" t="s">
        <v>526</v>
      </c>
      <c r="C64" s="246" t="s">
        <v>588</v>
      </c>
      <c r="D64" s="246" t="s">
        <v>584</v>
      </c>
      <c r="E64" s="240" t="s">
        <v>310</v>
      </c>
      <c r="F64" s="240" t="s">
        <v>310</v>
      </c>
      <c r="G64" s="240" t="s">
        <v>309</v>
      </c>
      <c r="H64" s="247"/>
      <c r="I64" s="119"/>
      <c r="J64" s="245" t="s">
        <v>309</v>
      </c>
    </row>
    <row r="65" spans="1:10" ht="18" x14ac:dyDescent="0.35">
      <c r="A65" s="245">
        <v>62</v>
      </c>
      <c r="B65" s="246" t="s">
        <v>542</v>
      </c>
      <c r="C65" s="246" t="s">
        <v>587</v>
      </c>
      <c r="D65" s="246" t="s">
        <v>584</v>
      </c>
      <c r="E65" s="240" t="s">
        <v>310</v>
      </c>
      <c r="F65" s="240" t="s">
        <v>310</v>
      </c>
      <c r="G65" s="240" t="s">
        <v>310</v>
      </c>
      <c r="H65" s="247"/>
      <c r="I65" s="119"/>
      <c r="J65" s="245" t="s">
        <v>310</v>
      </c>
    </row>
    <row r="66" spans="1:10" ht="18" x14ac:dyDescent="0.35">
      <c r="A66" s="245">
        <v>63</v>
      </c>
      <c r="B66" s="246" t="s">
        <v>514</v>
      </c>
      <c r="C66" s="246" t="s">
        <v>587</v>
      </c>
      <c r="D66" s="246" t="s">
        <v>584</v>
      </c>
      <c r="E66" s="240" t="s">
        <v>310</v>
      </c>
      <c r="F66" s="240" t="s">
        <v>310</v>
      </c>
      <c r="G66" s="240" t="s">
        <v>310</v>
      </c>
      <c r="H66" s="247"/>
      <c r="I66" s="119"/>
      <c r="J66" s="245" t="s">
        <v>310</v>
      </c>
    </row>
    <row r="67" spans="1:10" ht="18" x14ac:dyDescent="0.35">
      <c r="A67" s="245">
        <v>64</v>
      </c>
      <c r="B67" s="246" t="s">
        <v>543</v>
      </c>
      <c r="C67" s="246" t="s">
        <v>587</v>
      </c>
      <c r="D67" s="246" t="s">
        <v>584</v>
      </c>
      <c r="E67" s="240" t="s">
        <v>310</v>
      </c>
      <c r="F67" s="240" t="s">
        <v>310</v>
      </c>
      <c r="G67" s="240" t="s">
        <v>310</v>
      </c>
      <c r="H67" s="247"/>
      <c r="I67" s="119"/>
      <c r="J67" s="245" t="s">
        <v>310</v>
      </c>
    </row>
    <row r="68" spans="1:10" ht="18" x14ac:dyDescent="0.35">
      <c r="A68" s="245">
        <v>65</v>
      </c>
      <c r="B68" s="246" t="s">
        <v>573</v>
      </c>
      <c r="C68" s="246" t="s">
        <v>588</v>
      </c>
      <c r="D68" s="246" t="s">
        <v>584</v>
      </c>
      <c r="E68" s="240" t="s">
        <v>310</v>
      </c>
      <c r="F68" s="240" t="s">
        <v>310</v>
      </c>
      <c r="G68" s="240" t="s">
        <v>310</v>
      </c>
      <c r="H68" s="247"/>
      <c r="I68" s="119"/>
      <c r="J68" s="245" t="s">
        <v>310</v>
      </c>
    </row>
    <row r="69" spans="1:10" ht="18" x14ac:dyDescent="0.35">
      <c r="A69" s="245">
        <v>66</v>
      </c>
      <c r="B69" s="246" t="s">
        <v>512</v>
      </c>
      <c r="C69" s="246" t="s">
        <v>596</v>
      </c>
      <c r="D69" s="246" t="s">
        <v>585</v>
      </c>
      <c r="E69" s="240" t="s">
        <v>310</v>
      </c>
      <c r="F69" s="240" t="s">
        <v>309</v>
      </c>
      <c r="G69" s="240" t="s">
        <v>309</v>
      </c>
      <c r="H69" s="247"/>
      <c r="I69" s="119"/>
      <c r="J69" s="245" t="s">
        <v>309</v>
      </c>
    </row>
    <row r="70" spans="1:10" ht="18" x14ac:dyDescent="0.35">
      <c r="A70" s="245">
        <v>67</v>
      </c>
      <c r="B70" s="246" t="s">
        <v>538</v>
      </c>
      <c r="C70" s="246" t="s">
        <v>587</v>
      </c>
      <c r="D70" s="246" t="s">
        <v>585</v>
      </c>
      <c r="E70" s="240" t="s">
        <v>310</v>
      </c>
      <c r="F70" s="240" t="s">
        <v>310</v>
      </c>
      <c r="G70" s="240" t="s">
        <v>310</v>
      </c>
      <c r="H70" s="247"/>
      <c r="I70" s="119"/>
      <c r="J70" s="245" t="s">
        <v>310</v>
      </c>
    </row>
    <row r="71" spans="1:10" ht="18" x14ac:dyDescent="0.35">
      <c r="A71" s="245">
        <v>68</v>
      </c>
      <c r="B71" s="246" t="s">
        <v>515</v>
      </c>
      <c r="C71" s="246" t="s">
        <v>588</v>
      </c>
      <c r="D71" s="246" t="s">
        <v>585</v>
      </c>
      <c r="E71" s="240" t="s">
        <v>310</v>
      </c>
      <c r="F71" s="240" t="s">
        <v>309</v>
      </c>
      <c r="G71" s="240" t="s">
        <v>309</v>
      </c>
      <c r="H71" s="247"/>
      <c r="I71" s="119"/>
      <c r="J71" s="245" t="s">
        <v>309</v>
      </c>
    </row>
    <row r="72" spans="1:10" ht="18" x14ac:dyDescent="0.35">
      <c r="A72" s="245">
        <v>69</v>
      </c>
      <c r="B72" s="246" t="s">
        <v>525</v>
      </c>
      <c r="C72" s="246" t="s">
        <v>587</v>
      </c>
      <c r="D72" s="246" t="s">
        <v>585</v>
      </c>
      <c r="E72" s="240" t="s">
        <v>310</v>
      </c>
      <c r="F72" s="240" t="s">
        <v>310</v>
      </c>
      <c r="G72" s="240" t="s">
        <v>310</v>
      </c>
      <c r="H72" s="247"/>
      <c r="I72" s="119"/>
      <c r="J72" s="245" t="s">
        <v>310</v>
      </c>
    </row>
    <row r="73" spans="1:10" ht="18" x14ac:dyDescent="0.35">
      <c r="A73" s="245">
        <v>70</v>
      </c>
      <c r="B73" s="246" t="s">
        <v>570</v>
      </c>
      <c r="C73" s="246" t="s">
        <v>588</v>
      </c>
      <c r="D73" s="246" t="s">
        <v>585</v>
      </c>
      <c r="E73" s="240" t="s">
        <v>310</v>
      </c>
      <c r="F73" s="240" t="s">
        <v>310</v>
      </c>
      <c r="G73" s="240" t="s">
        <v>310</v>
      </c>
      <c r="H73" s="247"/>
      <c r="I73" s="119"/>
      <c r="J73" s="245" t="s">
        <v>310</v>
      </c>
    </row>
    <row r="74" spans="1:10" ht="18" x14ac:dyDescent="0.35">
      <c r="A74" s="245">
        <v>71</v>
      </c>
      <c r="B74" s="246" t="s">
        <v>524</v>
      </c>
      <c r="C74" s="246" t="s">
        <v>587</v>
      </c>
      <c r="D74" s="246" t="s">
        <v>585</v>
      </c>
      <c r="E74" s="240" t="s">
        <v>309</v>
      </c>
      <c r="F74" s="240" t="s">
        <v>310</v>
      </c>
      <c r="G74" s="240" t="s">
        <v>310</v>
      </c>
      <c r="H74" s="247"/>
      <c r="I74" s="119"/>
      <c r="J74" s="245" t="s">
        <v>310</v>
      </c>
    </row>
    <row r="75" spans="1:10" ht="18" x14ac:dyDescent="0.35">
      <c r="A75" s="245">
        <v>72</v>
      </c>
      <c r="B75" s="246" t="s">
        <v>566</v>
      </c>
      <c r="C75" s="246" t="s">
        <v>588</v>
      </c>
      <c r="D75" s="246" t="s">
        <v>585</v>
      </c>
      <c r="E75" s="240" t="s">
        <v>310</v>
      </c>
      <c r="F75" s="240" t="s">
        <v>309</v>
      </c>
      <c r="G75" s="240" t="s">
        <v>310</v>
      </c>
      <c r="H75" s="247"/>
      <c r="I75" s="119"/>
      <c r="J75" s="245" t="s">
        <v>310</v>
      </c>
    </row>
    <row r="76" spans="1:10" ht="18" x14ac:dyDescent="0.35">
      <c r="A76" s="245">
        <v>73</v>
      </c>
      <c r="B76" s="246" t="s">
        <v>541</v>
      </c>
      <c r="C76" s="246" t="s">
        <v>588</v>
      </c>
      <c r="D76" s="246" t="s">
        <v>585</v>
      </c>
      <c r="E76" s="240" t="s">
        <v>310</v>
      </c>
      <c r="F76" s="240" t="s">
        <v>310</v>
      </c>
      <c r="G76" s="240" t="s">
        <v>310</v>
      </c>
      <c r="H76" s="247"/>
      <c r="I76" s="119"/>
      <c r="J76" s="245" t="s">
        <v>310</v>
      </c>
    </row>
    <row r="77" spans="1:10" ht="18" x14ac:dyDescent="0.35">
      <c r="A77" s="245">
        <v>74</v>
      </c>
      <c r="B77" s="246" t="s">
        <v>537</v>
      </c>
      <c r="C77" s="246" t="s">
        <v>588</v>
      </c>
      <c r="D77" s="246" t="s">
        <v>585</v>
      </c>
      <c r="E77" s="240" t="s">
        <v>310</v>
      </c>
      <c r="F77" s="240" t="s">
        <v>310</v>
      </c>
      <c r="G77" s="240" t="s">
        <v>310</v>
      </c>
      <c r="H77" s="247"/>
      <c r="I77" s="119"/>
      <c r="J77" s="245" t="s">
        <v>310</v>
      </c>
    </row>
    <row r="78" spans="1:10" ht="18" x14ac:dyDescent="0.35">
      <c r="A78" s="245">
        <v>75</v>
      </c>
      <c r="B78" s="246" t="s">
        <v>589</v>
      </c>
      <c r="C78" s="246" t="s">
        <v>593</v>
      </c>
      <c r="D78" s="246" t="s">
        <v>576</v>
      </c>
      <c r="E78" s="240" t="s">
        <v>310</v>
      </c>
      <c r="F78" s="240" t="s">
        <v>310</v>
      </c>
      <c r="G78" s="240" t="s">
        <v>310</v>
      </c>
      <c r="H78" s="247"/>
      <c r="I78" s="119"/>
      <c r="J78" s="245" t="s">
        <v>310</v>
      </c>
    </row>
    <row r="80" spans="1:10" ht="27.75" customHeight="1" x14ac:dyDescent="0.35">
      <c r="B80" s="111"/>
      <c r="C80" s="3"/>
    </row>
    <row r="81" spans="2:3" ht="27.75" customHeight="1" x14ac:dyDescent="0.35">
      <c r="B81" s="111"/>
      <c r="C81" s="3"/>
    </row>
    <row r="82" spans="2:3" ht="27.75" customHeight="1" x14ac:dyDescent="0.35">
      <c r="B82" s="111"/>
      <c r="C82" s="3"/>
    </row>
    <row r="83" spans="2:3" ht="27.75" customHeight="1" x14ac:dyDescent="0.35">
      <c r="B83" s="111"/>
      <c r="C83" s="3"/>
    </row>
  </sheetData>
  <mergeCells count="2">
    <mergeCell ref="A1:I1"/>
    <mergeCell ref="A2:H2"/>
  </mergeCells>
  <pageMargins left="0.11811023622047245" right="0.19685039370078741" top="0.19685039370078741" bottom="0.15748031496062992" header="0.31496062992125984" footer="0.31496062992125984"/>
  <pageSetup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14"/>
  </sheetPr>
  <dimension ref="A1:M48"/>
  <sheetViews>
    <sheetView topLeftCell="A25" workbookViewId="0">
      <selection activeCell="F49" sqref="F49"/>
    </sheetView>
  </sheetViews>
  <sheetFormatPr defaultColWidth="9.109375" defaultRowHeight="13.2" x14ac:dyDescent="0.25"/>
  <cols>
    <col min="1" max="1" width="26" style="1" customWidth="1"/>
    <col min="2" max="5" width="5.6640625" style="14" customWidth="1"/>
    <col min="6" max="6" width="17.33203125" style="4" customWidth="1"/>
    <col min="7" max="7" width="13.88671875" style="1" customWidth="1"/>
    <col min="8" max="8" width="9.88671875" style="1" bestFit="1" customWidth="1"/>
    <col min="9" max="9" width="13.5546875" style="112" bestFit="1" customWidth="1"/>
    <col min="10" max="10" width="18.33203125" style="1" customWidth="1"/>
    <col min="11" max="12" width="9.109375" style="1"/>
    <col min="13" max="13" width="9.88671875" style="1" bestFit="1" customWidth="1"/>
    <col min="14" max="16384" width="9.109375" style="1"/>
  </cols>
  <sheetData>
    <row r="1" spans="1:13" ht="24" customHeight="1" x14ac:dyDescent="0.25">
      <c r="A1" s="283" t="s">
        <v>91</v>
      </c>
      <c r="B1" s="283"/>
      <c r="C1" s="283"/>
      <c r="D1" s="283"/>
      <c r="E1" s="283"/>
      <c r="F1" s="283"/>
    </row>
    <row r="2" spans="1:13" s="23" customFormat="1" ht="21" customHeight="1" x14ac:dyDescent="0.25">
      <c r="A2" s="284" t="s">
        <v>49</v>
      </c>
      <c r="B2" s="284"/>
      <c r="C2" s="284"/>
      <c r="D2" s="284"/>
      <c r="E2" s="284"/>
      <c r="F2" s="22">
        <f>SUM(F3:F10)</f>
        <v>47550598.959999993</v>
      </c>
      <c r="I2" s="113">
        <f>F11+F2</f>
        <v>47550598.959999993</v>
      </c>
    </row>
    <row r="3" spans="1:13" s="18" customFormat="1" ht="21" customHeight="1" x14ac:dyDescent="0.25">
      <c r="A3" s="16" t="s">
        <v>78</v>
      </c>
      <c r="B3" s="8" t="s">
        <v>79</v>
      </c>
      <c r="C3" s="8" t="s">
        <v>80</v>
      </c>
      <c r="D3" s="8" t="s">
        <v>81</v>
      </c>
      <c r="E3" s="8" t="s">
        <v>82</v>
      </c>
      <c r="F3" s="24">
        <f>luongcanban_1*hesoluongcanban_bc*(bhxh_1+bhyt_1+bhtn_1)-luongcanban_1*kbhtn_1*bhtn_1</f>
        <v>14151173</v>
      </c>
      <c r="I3" s="114"/>
      <c r="J3" s="117"/>
    </row>
    <row r="4" spans="1:13" s="18" customFormat="1" ht="21" customHeight="1" x14ac:dyDescent="0.25">
      <c r="A4" s="16" t="s">
        <v>83</v>
      </c>
      <c r="B4" s="8"/>
      <c r="C4" s="8"/>
      <c r="D4" s="8"/>
      <c r="E4" s="8" t="s">
        <v>84</v>
      </c>
      <c r="F4" s="24">
        <f>luongcanban_1*hesoluongcanban_dh*(bhxh_1+bhyt_1+bhtn_1)</f>
        <v>0</v>
      </c>
      <c r="I4" s="114">
        <f>F3+F5+F6+F7+F8+F9+F10</f>
        <v>47550598.959999993</v>
      </c>
      <c r="J4" s="117"/>
    </row>
    <row r="5" spans="1:13" s="18" customFormat="1" ht="21" customHeight="1" x14ac:dyDescent="0.25">
      <c r="A5" s="16" t="s">
        <v>85</v>
      </c>
      <c r="B5" s="8"/>
      <c r="C5" s="8"/>
      <c r="D5" s="8"/>
      <c r="E5" s="8" t="s">
        <v>86</v>
      </c>
      <c r="F5" s="24">
        <f>(hesochucvu_bc+hesochucvu_dh)*luongcanban_1*(bhxh_1+bhyt_1+bhtn_1)-luongcanban_1*kbhtn_2*bhtn_1</f>
        <v>761024.99999999977</v>
      </c>
      <c r="I5" s="114"/>
      <c r="J5" s="117"/>
    </row>
    <row r="6" spans="1:13" s="18" customFormat="1" ht="21" customHeight="1" x14ac:dyDescent="0.25">
      <c r="A6" s="16" t="s">
        <v>169</v>
      </c>
      <c r="B6" s="8"/>
      <c r="C6" s="8"/>
      <c r="D6" s="8"/>
      <c r="E6" s="8" t="s">
        <v>243</v>
      </c>
      <c r="F6" s="24">
        <f>(hesothamniennghe_bc+hesothamniennghe_dh)*luongcanban_1*(bhxh_1+bhyt_1+bhtn_1)-luongcanban_1*kbhtn_5*bhtn_1</f>
        <v>603007.02</v>
      </c>
      <c r="I6" s="114">
        <f>F2+F11</f>
        <v>47550598.959999993</v>
      </c>
      <c r="J6" s="117"/>
      <c r="M6" s="87"/>
    </row>
    <row r="7" spans="1:13" s="18" customFormat="1" ht="21" customHeight="1" x14ac:dyDescent="0.25">
      <c r="A7" s="16" t="s">
        <v>116</v>
      </c>
      <c r="B7" s="8"/>
      <c r="C7" s="8"/>
      <c r="D7" s="8"/>
      <c r="E7" s="8" t="s">
        <v>115</v>
      </c>
      <c r="F7" s="24">
        <f>(hesovuotkhung_bc+hesovuotkhung_dh)*luongcanban_1*(bhxh_1+bhyt_1+bhtn_1)-luongcanban_1*kbhtn_3*bhtn_1</f>
        <v>50878.170000000013</v>
      </c>
      <c r="I7" s="114"/>
      <c r="J7" s="117"/>
    </row>
    <row r="8" spans="1:13" s="18" customFormat="1" ht="21" customHeight="1" x14ac:dyDescent="0.25">
      <c r="A8" s="16" t="s">
        <v>15</v>
      </c>
      <c r="B8" s="8"/>
      <c r="C8" s="8"/>
      <c r="D8" s="8"/>
      <c r="E8" s="8" t="s">
        <v>92</v>
      </c>
      <c r="F8" s="24">
        <f>(hesoluongcanban_bc+hesoluongcanban_dh+hesochucvu_bc+hesochucvu_dh+hesovuotkhung_bc+hesovuotkhung_dh+hesothamniennghe_bc+hesothamniennghe_dh)*luongcanban_1*bhxh_2</f>
        <v>26120233.649999995</v>
      </c>
      <c r="I8" s="114">
        <f>F2-43903613</f>
        <v>3646985.9599999934</v>
      </c>
      <c r="J8" s="117"/>
    </row>
    <row r="9" spans="1:13" s="18" customFormat="1" ht="21" customHeight="1" x14ac:dyDescent="0.25">
      <c r="A9" s="16" t="s">
        <v>16</v>
      </c>
      <c r="B9" s="8"/>
      <c r="C9" s="8"/>
      <c r="D9" s="8"/>
      <c r="E9" s="8" t="s">
        <v>93</v>
      </c>
      <c r="F9" s="24">
        <f>(hesoluongcanban_bc+hesoluongcanban_dh+hesochucvu_bc+hesochucvu_dh+hesovuotkhung_bc+hesovuotkhung_dh+hesothamniennghe_bc+hesothamniennghe_dh)*luongcanban_1*bhyt_2</f>
        <v>4477754.3399999989</v>
      </c>
      <c r="I9" s="114"/>
      <c r="J9" s="117"/>
    </row>
    <row r="10" spans="1:13" s="23" customFormat="1" ht="21" customHeight="1" x14ac:dyDescent="0.25">
      <c r="A10" s="16" t="s">
        <v>241</v>
      </c>
      <c r="B10" s="8"/>
      <c r="C10" s="8"/>
      <c r="D10" s="8"/>
      <c r="E10" s="8" t="s">
        <v>257</v>
      </c>
      <c r="F10" s="24">
        <f>(hesoluongcanban_bc+hesoluongcanban_dh+hesochucvu_bc+hesochucvu_dh+hesovuotkhung_bc+hesovuotkhung_dh+hesothamniennghe_bc+hesothamniennghe_dh)*luongcanban_1*bhtn_2-luongcanban_1*bhtn_2*(kbhtn_1+kbhtn_2+kbhtn_3+kbhtn_5)</f>
        <v>1386527.7799999998</v>
      </c>
      <c r="I10" s="113"/>
      <c r="J10" s="117"/>
    </row>
    <row r="11" spans="1:13" s="23" customFormat="1" ht="21" customHeight="1" x14ac:dyDescent="0.25">
      <c r="A11" s="284" t="s">
        <v>49</v>
      </c>
      <c r="B11" s="284"/>
      <c r="C11" s="284"/>
      <c r="D11" s="284"/>
      <c r="E11" s="284"/>
      <c r="F11" s="22">
        <f>SUM(F12)</f>
        <v>0</v>
      </c>
      <c r="I11" s="113"/>
      <c r="J11" s="118"/>
    </row>
    <row r="12" spans="1:13" s="18" customFormat="1" ht="21" customHeight="1" x14ac:dyDescent="0.25">
      <c r="A12" s="16" t="s">
        <v>260</v>
      </c>
      <c r="B12" s="8"/>
      <c r="C12" s="8"/>
      <c r="D12" s="8"/>
      <c r="E12" s="8" t="s">
        <v>92</v>
      </c>
      <c r="F12" s="24">
        <f>(hesoluongcanban_bc+hesoluongcanban_dh+hesochucvu_bc+hesochucvu_dh+hesovuotkhung_bc+hesovuotkhung_dh+hesothamniennghe_bc+hesothamniennghe_dh)*luongcanban_1*bhxh_3</f>
        <v>0</v>
      </c>
      <c r="I12" s="114"/>
      <c r="J12" s="117"/>
    </row>
    <row r="13" spans="1:13" s="18" customFormat="1" ht="21" customHeight="1" x14ac:dyDescent="0.25">
      <c r="A13" s="284" t="s">
        <v>49</v>
      </c>
      <c r="B13" s="284"/>
      <c r="C13" s="284"/>
      <c r="D13" s="284"/>
      <c r="E13" s="284"/>
      <c r="F13" s="22">
        <f>SUM(F14:F21)</f>
        <v>3420906.4</v>
      </c>
      <c r="H13" s="87"/>
      <c r="I13" s="114">
        <f>F13-'BANG KÊ'!D13</f>
        <v>-47550598.600000001</v>
      </c>
      <c r="J13" s="117"/>
    </row>
    <row r="14" spans="1:13" s="18" customFormat="1" ht="21" customHeight="1" x14ac:dyDescent="0.25">
      <c r="A14" s="16" t="s">
        <v>78</v>
      </c>
      <c r="B14" s="8" t="s">
        <v>100</v>
      </c>
      <c r="C14" s="8" t="s">
        <v>80</v>
      </c>
      <c r="D14" s="8" t="s">
        <v>81</v>
      </c>
      <c r="E14" s="8" t="s">
        <v>82</v>
      </c>
      <c r="F14" s="24">
        <f>luongcanban_2*hesoluongcanban_bc*(bhxh_1+bhyt_1+bhtn_1)-luongcanban_2*kbhtn_1*bhtn_1</f>
        <v>1018070</v>
      </c>
      <c r="I14" s="116"/>
    </row>
    <row r="15" spans="1:13" s="18" customFormat="1" ht="21" customHeight="1" x14ac:dyDescent="0.25">
      <c r="A15" s="16" t="s">
        <v>83</v>
      </c>
      <c r="B15" s="8"/>
      <c r="C15" s="8"/>
      <c r="D15" s="8"/>
      <c r="E15" s="8" t="s">
        <v>84</v>
      </c>
      <c r="F15" s="24">
        <f>luongcanban_2*hesoluongcanban_dh*(bhxh_1+bhyt_1+bhtn_1)</f>
        <v>0</v>
      </c>
      <c r="I15" s="116"/>
      <c r="J15" s="114"/>
    </row>
    <row r="16" spans="1:13" s="18" customFormat="1" ht="21" customHeight="1" x14ac:dyDescent="0.25">
      <c r="A16" s="16" t="s">
        <v>85</v>
      </c>
      <c r="B16" s="8"/>
      <c r="C16" s="8"/>
      <c r="D16" s="8"/>
      <c r="E16" s="8" t="s">
        <v>86</v>
      </c>
      <c r="F16" s="24">
        <f>(hesochucvu_bc+hesochucvu_dh)*luongcanban_2*(bhxh_1+bhyt_1+bhtn_1)-luongcanban_2*kbhtn_2*bhtn_1</f>
        <v>54749.999999999985</v>
      </c>
      <c r="I16" s="114"/>
      <c r="J16" s="115"/>
    </row>
    <row r="17" spans="1:9" s="18" customFormat="1" ht="21" customHeight="1" x14ac:dyDescent="0.25">
      <c r="A17" s="16" t="s">
        <v>169</v>
      </c>
      <c r="B17" s="8"/>
      <c r="C17" s="8"/>
      <c r="D17" s="8"/>
      <c r="E17" s="8" t="s">
        <v>243</v>
      </c>
      <c r="F17" s="24">
        <f>(hesothamniennghe_bc+hesothamniennghe_dh)*luongcanban_2*(bhxh_1+bhyt_1+bhtn_1)-luongcanban_2*kbhtn_5*bhtn_1</f>
        <v>43381.799999999996</v>
      </c>
      <c r="I17" s="114"/>
    </row>
    <row r="18" spans="1:9" s="18" customFormat="1" ht="21" customHeight="1" x14ac:dyDescent="0.25">
      <c r="A18" s="16" t="s">
        <v>116</v>
      </c>
      <c r="B18" s="8"/>
      <c r="C18" s="8"/>
      <c r="D18" s="8"/>
      <c r="E18" s="8" t="s">
        <v>115</v>
      </c>
      <c r="F18" s="24">
        <f>(hesovuotkhung_bc+hesovuotkhung_dh)*luongcanban_2*(bhxh_1+bhyt_1+bhtn_1)-luongcanban_2*kbhtn_3*bhtn_1</f>
        <v>3660.3000000000006</v>
      </c>
      <c r="I18" s="114"/>
    </row>
    <row r="19" spans="1:9" s="18" customFormat="1" ht="21" customHeight="1" x14ac:dyDescent="0.25">
      <c r="A19" s="16" t="s">
        <v>15</v>
      </c>
      <c r="B19" s="8"/>
      <c r="C19" s="8"/>
      <c r="D19" s="8"/>
      <c r="E19" s="8" t="s">
        <v>92</v>
      </c>
      <c r="F19" s="24">
        <f>(hesoluongcanban_bc+hesoluongcanban_dh+hesochucvu_bc+hesochucvu_dh+hesovuotkhung_bc+hesovuotkhung_dh+hesothamniennghe_bc+hesothamniennghe_dh)*luongcanban_2*(bhxh_2+bhxh_3)</f>
        <v>1879153.4999999995</v>
      </c>
      <c r="I19" s="114"/>
    </row>
    <row r="20" spans="1:9" s="18" customFormat="1" ht="21" customHeight="1" x14ac:dyDescent="0.25">
      <c r="A20" s="16" t="s">
        <v>16</v>
      </c>
      <c r="B20" s="8"/>
      <c r="C20" s="8"/>
      <c r="D20" s="8"/>
      <c r="E20" s="8" t="s">
        <v>93</v>
      </c>
      <c r="F20" s="24">
        <f>(hesoluongcanban_bc+hesoluongcanban_dh+hesochucvu_bc+hesochucvu_dh+hesovuotkhung_bc+hesovuotkhung_dh+hesothamniennghe_bc+hesothamniennghe_dh)*luongcanban_2*bhyt_2</f>
        <v>322140.59999999992</v>
      </c>
      <c r="I20" s="114"/>
    </row>
    <row r="21" spans="1:9" s="23" customFormat="1" ht="21" customHeight="1" x14ac:dyDescent="0.25">
      <c r="A21" s="16" t="s">
        <v>241</v>
      </c>
      <c r="B21" s="8"/>
      <c r="C21" s="8"/>
      <c r="D21" s="8"/>
      <c r="E21" s="8" t="s">
        <v>257</v>
      </c>
      <c r="F21" s="24">
        <f>(hesoluongcanban_bc+hesoluongcanban_dh+hesochucvu_bc+hesochucvu_dh+hesovuotkhung_bc+hesovuotkhung_dh+hesothamniennghe_bc+hesothamniennghe_dh)*luongcanban_2*bhtn_2-luongcanban_2*bhtn_2*(kbhtn_1+kbhtn_2+kbhtn_3+kbhtn_5)</f>
        <v>99750.199999999983</v>
      </c>
      <c r="I21" s="113"/>
    </row>
    <row r="22" spans="1:9" s="18" customFormat="1" ht="21" customHeight="1" x14ac:dyDescent="0.25">
      <c r="A22" s="284" t="s">
        <v>49</v>
      </c>
      <c r="B22" s="284"/>
      <c r="C22" s="284"/>
      <c r="D22" s="284"/>
      <c r="E22" s="284"/>
      <c r="F22" s="22">
        <f>SUM(F23)</f>
        <v>0</v>
      </c>
      <c r="I22" s="114"/>
    </row>
    <row r="23" spans="1:9" s="18" customFormat="1" ht="21" customHeight="1" x14ac:dyDescent="0.25">
      <c r="A23" s="16" t="s">
        <v>260</v>
      </c>
      <c r="B23" s="8"/>
      <c r="C23" s="8"/>
      <c r="D23" s="8"/>
      <c r="E23" s="8" t="s">
        <v>92</v>
      </c>
      <c r="F23" s="24"/>
      <c r="I23" s="114"/>
    </row>
    <row r="24" spans="1:9" s="18" customFormat="1" ht="21" customHeight="1" x14ac:dyDescent="0.25">
      <c r="A24" s="284" t="s">
        <v>49</v>
      </c>
      <c r="B24" s="284"/>
      <c r="C24" s="284"/>
      <c r="D24" s="284"/>
      <c r="E24" s="284"/>
      <c r="F24" s="22">
        <f>SUM(F25:F29)</f>
        <v>2824480</v>
      </c>
      <c r="G24" s="87">
        <f>F24+F36</f>
        <v>7979712</v>
      </c>
      <c r="I24" s="114">
        <f>G24-[4]CK_BH!$F$30</f>
        <v>240192.00000000093</v>
      </c>
    </row>
    <row r="25" spans="1:9" s="18" customFormat="1" ht="21" customHeight="1" x14ac:dyDescent="0.25">
      <c r="A25" s="16" t="s">
        <v>87</v>
      </c>
      <c r="B25" s="8" t="s">
        <v>79</v>
      </c>
      <c r="C25" s="8" t="s">
        <v>80</v>
      </c>
      <c r="D25" s="8" t="s">
        <v>81</v>
      </c>
      <c r="E25" s="8" t="s">
        <v>89</v>
      </c>
      <c r="F25" s="24">
        <f>luongcanban_1*'Luong HĐ 68'!hesoluongcanban_vv*(bhxh_1+bhyt_1+bhtn_1)</f>
        <v>926782.5</v>
      </c>
      <c r="I25" s="114"/>
    </row>
    <row r="26" spans="1:9" x14ac:dyDescent="0.25">
      <c r="A26" s="16" t="s">
        <v>83</v>
      </c>
      <c r="B26" s="8"/>
      <c r="C26" s="8"/>
      <c r="D26" s="8"/>
      <c r="E26" s="8" t="s">
        <v>84</v>
      </c>
      <c r="F26" s="24">
        <v>0</v>
      </c>
    </row>
    <row r="27" spans="1:9" x14ac:dyDescent="0.25">
      <c r="A27" s="16" t="s">
        <v>15</v>
      </c>
      <c r="B27" s="8"/>
      <c r="C27" s="8"/>
      <c r="D27" s="8"/>
      <c r="E27" s="8" t="s">
        <v>92</v>
      </c>
      <c r="F27" s="24">
        <f>'Luong HĐ 68'!hesoluongcanban_vv*luongcanban_1*bhxh_2</f>
        <v>1544637.5</v>
      </c>
    </row>
    <row r="28" spans="1:9" x14ac:dyDescent="0.25">
      <c r="A28" s="16" t="s">
        <v>16</v>
      </c>
      <c r="B28" s="8"/>
      <c r="C28" s="8"/>
      <c r="D28" s="8"/>
      <c r="E28" s="8" t="s">
        <v>93</v>
      </c>
      <c r="F28" s="24">
        <f>'Luong HĐ 68'!hesoluongcanban_vv*luongcanban_1*bhyt_2</f>
        <v>264795</v>
      </c>
    </row>
    <row r="29" spans="1:9" x14ac:dyDescent="0.25">
      <c r="A29" s="16" t="s">
        <v>241</v>
      </c>
      <c r="B29" s="8"/>
      <c r="C29" s="8"/>
      <c r="D29" s="8"/>
      <c r="E29" s="8" t="s">
        <v>257</v>
      </c>
      <c r="F29" s="24">
        <f>'Luong HĐ 68'!hesoluongcanban_vv*luongcanban_1*bhtn_2</f>
        <v>88265</v>
      </c>
    </row>
    <row r="30" spans="1:9" s="18" customFormat="1" ht="21" customHeight="1" x14ac:dyDescent="0.25">
      <c r="A30" s="284" t="s">
        <v>49</v>
      </c>
      <c r="B30" s="284"/>
      <c r="C30" s="284"/>
      <c r="D30" s="284"/>
      <c r="E30" s="284"/>
      <c r="F30" s="22">
        <f>SUM(F31:F35)</f>
        <v>203200</v>
      </c>
      <c r="G30" s="87">
        <f>F30+F48</f>
        <v>59728497.359999992</v>
      </c>
      <c r="I30" s="114">
        <f>G30-[4]CK_BH!$F$30</f>
        <v>51988977.359999992</v>
      </c>
    </row>
    <row r="31" spans="1:9" s="18" customFormat="1" ht="21" customHeight="1" x14ac:dyDescent="0.25">
      <c r="A31" s="16" t="s">
        <v>87</v>
      </c>
      <c r="B31" s="8" t="s">
        <v>100</v>
      </c>
      <c r="C31" s="8" t="s">
        <v>80</v>
      </c>
      <c r="D31" s="8" t="s">
        <v>81</v>
      </c>
      <c r="E31" s="8" t="s">
        <v>89</v>
      </c>
      <c r="F31" s="24">
        <f>luongcanban_2*'Luong HĐ 68'!hesoluongcanban_vv*(bhxh_1+bhyt_1+bhtn_1)</f>
        <v>66675</v>
      </c>
      <c r="I31" s="114"/>
    </row>
    <row r="32" spans="1:9" x14ac:dyDescent="0.25">
      <c r="A32" s="16" t="s">
        <v>83</v>
      </c>
      <c r="B32" s="8"/>
      <c r="C32" s="8"/>
      <c r="D32" s="8"/>
      <c r="E32" s="8" t="s">
        <v>84</v>
      </c>
      <c r="F32" s="24">
        <v>0</v>
      </c>
    </row>
    <row r="33" spans="1:9" x14ac:dyDescent="0.25">
      <c r="A33" s="16" t="s">
        <v>15</v>
      </c>
      <c r="B33" s="8"/>
      <c r="C33" s="8"/>
      <c r="D33" s="8"/>
      <c r="E33" s="8" t="s">
        <v>92</v>
      </c>
      <c r="F33" s="24">
        <f>'Luong HĐ 68'!hesoluongcanban_vv*luongcanban_2*bhxh_2</f>
        <v>111125</v>
      </c>
    </row>
    <row r="34" spans="1:9" x14ac:dyDescent="0.25">
      <c r="A34" s="16" t="s">
        <v>16</v>
      </c>
      <c r="B34" s="8"/>
      <c r="C34" s="8"/>
      <c r="D34" s="8"/>
      <c r="E34" s="8" t="s">
        <v>93</v>
      </c>
      <c r="F34" s="24">
        <f>'Luong HĐ 68'!hesoluongcanban_vv*luongcanban_2*bhyt_2</f>
        <v>19050</v>
      </c>
    </row>
    <row r="35" spans="1:9" x14ac:dyDescent="0.25">
      <c r="A35" s="16" t="s">
        <v>241</v>
      </c>
      <c r="B35" s="8"/>
      <c r="C35" s="8"/>
      <c r="D35" s="8"/>
      <c r="E35" s="8" t="s">
        <v>257</v>
      </c>
      <c r="F35" s="24">
        <f>'Luong HĐ 68'!hesoluongcanban_vv*luongcanban_2*bhtn_2</f>
        <v>6350</v>
      </c>
    </row>
    <row r="36" spans="1:9" s="18" customFormat="1" ht="21" customHeight="1" x14ac:dyDescent="0.25">
      <c r="A36" s="284" t="s">
        <v>49</v>
      </c>
      <c r="B36" s="284"/>
      <c r="C36" s="284"/>
      <c r="D36" s="284"/>
      <c r="E36" s="284"/>
      <c r="F36" s="22">
        <f>SUM(F37:F41)</f>
        <v>5155232</v>
      </c>
      <c r="I36" s="114"/>
    </row>
    <row r="37" spans="1:9" s="18" customFormat="1" ht="21" customHeight="1" x14ac:dyDescent="0.25">
      <c r="A37" s="16" t="s">
        <v>87</v>
      </c>
      <c r="B37" s="8" t="s">
        <v>88</v>
      </c>
      <c r="C37" s="8" t="s">
        <v>80</v>
      </c>
      <c r="D37" s="8" t="s">
        <v>81</v>
      </c>
      <c r="E37" s="8" t="s">
        <v>89</v>
      </c>
      <c r="F37" s="24">
        <f>luongcanban_1*'Luong VV'!E8*(bhxh_1+bhyt_1+bhtn_1)</f>
        <v>1301874.0000000002</v>
      </c>
      <c r="I37" s="114"/>
    </row>
    <row r="38" spans="1:9" x14ac:dyDescent="0.25">
      <c r="A38" s="16" t="s">
        <v>83</v>
      </c>
      <c r="B38" s="8"/>
      <c r="C38" s="8"/>
      <c r="D38" s="8"/>
      <c r="E38" s="8" t="s">
        <v>84</v>
      </c>
      <c r="F38" s="24">
        <f>luongcanban_1*'Luong VV'!E7*(bhxh_1+bhyt_1+bhtn_1)</f>
        <v>389686.5</v>
      </c>
    </row>
    <row r="39" spans="1:9" x14ac:dyDescent="0.25">
      <c r="A39" s="16" t="s">
        <v>15</v>
      </c>
      <c r="B39" s="8"/>
      <c r="C39" s="8"/>
      <c r="D39" s="8"/>
      <c r="E39" s="8" t="s">
        <v>92</v>
      </c>
      <c r="F39" s="24">
        <f>hesoluongcanban_vv*luongcanban_1*bhxh_2</f>
        <v>2819267.5</v>
      </c>
    </row>
    <row r="40" spans="1:9" x14ac:dyDescent="0.25">
      <c r="A40" s="16" t="s">
        <v>16</v>
      </c>
      <c r="B40" s="8"/>
      <c r="C40" s="8"/>
      <c r="D40" s="8"/>
      <c r="E40" s="8" t="s">
        <v>93</v>
      </c>
      <c r="F40" s="24">
        <f>hesoluongcanban_vv*luongcanban_1*bhyt_2</f>
        <v>483303</v>
      </c>
    </row>
    <row r="41" spans="1:9" x14ac:dyDescent="0.25">
      <c r="A41" s="16" t="s">
        <v>241</v>
      </c>
      <c r="B41" s="8"/>
      <c r="C41" s="8"/>
      <c r="D41" s="8"/>
      <c r="E41" s="8" t="s">
        <v>257</v>
      </c>
      <c r="F41" s="24">
        <f>hesoluongcanban_vv*luongcanban_1*bhtn_2</f>
        <v>161101</v>
      </c>
    </row>
    <row r="42" spans="1:9" s="18" customFormat="1" ht="21" customHeight="1" x14ac:dyDescent="0.25">
      <c r="A42" s="284" t="s">
        <v>49</v>
      </c>
      <c r="B42" s="284"/>
      <c r="C42" s="284"/>
      <c r="D42" s="284"/>
      <c r="E42" s="284"/>
      <c r="F42" s="22">
        <f>SUM(F43:F47)</f>
        <v>370880</v>
      </c>
      <c r="I42" s="114"/>
    </row>
    <row r="43" spans="1:9" s="18" customFormat="1" ht="21" customHeight="1" x14ac:dyDescent="0.25">
      <c r="A43" s="16" t="s">
        <v>87</v>
      </c>
      <c r="B43" s="8" t="s">
        <v>88</v>
      </c>
      <c r="C43" s="8" t="s">
        <v>80</v>
      </c>
      <c r="D43" s="8" t="s">
        <v>81</v>
      </c>
      <c r="E43" s="8" t="s">
        <v>89</v>
      </c>
      <c r="F43" s="24">
        <f>luongcanban_2*'Luong VV'!E8*(bhxh_1+bhyt_1+bhtn_1)</f>
        <v>93660.000000000015</v>
      </c>
      <c r="I43" s="114"/>
    </row>
    <row r="44" spans="1:9" x14ac:dyDescent="0.25">
      <c r="A44" s="16" t="s">
        <v>83</v>
      </c>
      <c r="B44" s="8"/>
      <c r="C44" s="8"/>
      <c r="D44" s="8"/>
      <c r="E44" s="8" t="s">
        <v>84</v>
      </c>
      <c r="F44" s="24">
        <f>luongcanban_2*'Luong VV'!E6*(bhxh_1+bhyt_1+bhtn_1)</f>
        <v>28035</v>
      </c>
    </row>
    <row r="45" spans="1:9" x14ac:dyDescent="0.25">
      <c r="A45" s="16" t="s">
        <v>15</v>
      </c>
      <c r="B45" s="8"/>
      <c r="C45" s="8"/>
      <c r="D45" s="8"/>
      <c r="E45" s="8" t="s">
        <v>92</v>
      </c>
      <c r="F45" s="24">
        <f>hesoluongcanban_vv*luongcanban_2*bhxh_2</f>
        <v>202825</v>
      </c>
    </row>
    <row r="46" spans="1:9" x14ac:dyDescent="0.25">
      <c r="A46" s="16" t="s">
        <v>16</v>
      </c>
      <c r="B46" s="8"/>
      <c r="C46" s="8"/>
      <c r="D46" s="8"/>
      <c r="E46" s="8" t="s">
        <v>93</v>
      </c>
      <c r="F46" s="24">
        <f>hesoluongcanban_vv*luongcanban_2*bhyt_2</f>
        <v>34770</v>
      </c>
    </row>
    <row r="47" spans="1:9" x14ac:dyDescent="0.25">
      <c r="A47" s="16" t="s">
        <v>241</v>
      </c>
      <c r="B47" s="8"/>
      <c r="C47" s="8"/>
      <c r="D47" s="8"/>
      <c r="E47" s="8" t="s">
        <v>257</v>
      </c>
      <c r="F47" s="24">
        <f>hesoluongcanban_vv*luongcanban_2*bhtn_2</f>
        <v>11590</v>
      </c>
      <c r="G47" s="4">
        <f>Luong_BC!V46-CK_BH!F48</f>
        <v>0</v>
      </c>
    </row>
    <row r="48" spans="1:9" x14ac:dyDescent="0.25">
      <c r="A48" s="282" t="s">
        <v>90</v>
      </c>
      <c r="B48" s="282"/>
      <c r="C48" s="282"/>
      <c r="D48" s="282"/>
      <c r="E48" s="282"/>
      <c r="F48" s="19">
        <f>F2+F11+F13+F22+F36+F24+F42+F30</f>
        <v>59525297.359999992</v>
      </c>
    </row>
  </sheetData>
  <mergeCells count="10">
    <mergeCell ref="A48:E48"/>
    <mergeCell ref="A1:F1"/>
    <mergeCell ref="A2:E2"/>
    <mergeCell ref="A13:E13"/>
    <mergeCell ref="A36:E36"/>
    <mergeCell ref="A22:E22"/>
    <mergeCell ref="A11:E11"/>
    <mergeCell ref="A24:E24"/>
    <mergeCell ref="A30:E30"/>
    <mergeCell ref="A42:E42"/>
  </mergeCells>
  <phoneticPr fontId="3" type="noConversion"/>
  <pageMargins left="0.2" right="0.2" top="1" bottom="1" header="0.5" footer="0.5"/>
  <pageSetup scale="80" orientation="portrait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indexed="14"/>
  </sheetPr>
  <dimension ref="A1:H14"/>
  <sheetViews>
    <sheetView workbookViewId="0">
      <selection activeCell="F13" sqref="F13"/>
    </sheetView>
  </sheetViews>
  <sheetFormatPr defaultColWidth="9.109375" defaultRowHeight="13.2" x14ac:dyDescent="0.25"/>
  <cols>
    <col min="1" max="1" width="26" style="1" customWidth="1"/>
    <col min="2" max="5" width="5.6640625" style="14" customWidth="1"/>
    <col min="6" max="6" width="17.33203125" style="4" customWidth="1"/>
    <col min="7" max="7" width="13.33203125" style="1" customWidth="1"/>
    <col min="8" max="16384" width="9.109375" style="1"/>
  </cols>
  <sheetData>
    <row r="1" spans="1:8" ht="44.25" customHeight="1" x14ac:dyDescent="0.25">
      <c r="A1" s="283" t="s">
        <v>94</v>
      </c>
      <c r="B1" s="283"/>
      <c r="C1" s="283"/>
      <c r="D1" s="283"/>
      <c r="E1" s="283"/>
      <c r="F1" s="283"/>
    </row>
    <row r="2" spans="1:8" s="20" customFormat="1" ht="21" customHeight="1" x14ac:dyDescent="0.25">
      <c r="A2" s="282" t="s">
        <v>49</v>
      </c>
      <c r="B2" s="282"/>
      <c r="C2" s="282"/>
      <c r="D2" s="282"/>
      <c r="E2" s="282"/>
      <c r="F2" s="19">
        <f>SUM(F3:F3)</f>
        <v>2985169.5599999996</v>
      </c>
    </row>
    <row r="3" spans="1:8" s="18" customFormat="1" ht="21" customHeight="1" x14ac:dyDescent="0.25">
      <c r="A3" s="16" t="s">
        <v>95</v>
      </c>
      <c r="B3" s="8" t="s">
        <v>79</v>
      </c>
      <c r="C3" s="8" t="s">
        <v>80</v>
      </c>
      <c r="D3" s="8" t="s">
        <v>81</v>
      </c>
      <c r="E3" s="8" t="s">
        <v>96</v>
      </c>
      <c r="F3" s="24">
        <f>(hesoluongcanban_bc+hesoluongcanban_dh+hesochucvu_bc+hesochucvu_dh+hesovuotkhung_bc+hesovuotkhung_dh+hesothamniennghe_bc+hesothamniennghe_dh)*luongcanban_1*kpcd_2</f>
        <v>2985169.5599999996</v>
      </c>
    </row>
    <row r="4" spans="1:8" s="20" customFormat="1" ht="21" customHeight="1" x14ac:dyDescent="0.25">
      <c r="A4" s="282" t="s">
        <v>49</v>
      </c>
      <c r="B4" s="282"/>
      <c r="C4" s="282"/>
      <c r="D4" s="282"/>
      <c r="E4" s="282"/>
      <c r="F4" s="19">
        <f>SUM(F5:F5)</f>
        <v>214760.39999999997</v>
      </c>
    </row>
    <row r="5" spans="1:8" s="18" customFormat="1" ht="21" customHeight="1" x14ac:dyDescent="0.25">
      <c r="A5" s="16" t="s">
        <v>95</v>
      </c>
      <c r="B5" s="8" t="s">
        <v>100</v>
      </c>
      <c r="C5" s="8" t="s">
        <v>80</v>
      </c>
      <c r="D5" s="8" t="s">
        <v>81</v>
      </c>
      <c r="E5" s="8" t="s">
        <v>96</v>
      </c>
      <c r="F5" s="24">
        <f>(hesoluongcanban_bc+hesoluongcanban_dh+hesochucvu_bc+hesochucvu_dh+hesovuotkhung_bc+hesovuotkhung_dh+hesothamniennghe_bc+hesothamniennghe_dh)*luongcanban_2*kpcd_2</f>
        <v>214760.39999999997</v>
      </c>
    </row>
    <row r="6" spans="1:8" s="20" customFormat="1" ht="21" customHeight="1" x14ac:dyDescent="0.25">
      <c r="A6" s="285" t="s">
        <v>49</v>
      </c>
      <c r="B6" s="286"/>
      <c r="C6" s="286"/>
      <c r="D6" s="286"/>
      <c r="E6" s="287"/>
      <c r="F6" s="19">
        <f>SUM(F7:F7)</f>
        <v>322202</v>
      </c>
      <c r="G6" s="111">
        <f>F6+F10</f>
        <v>498732</v>
      </c>
      <c r="H6" s="111">
        <f>G6-[4]KP_CD!$F$6</f>
        <v>15012.000000000058</v>
      </c>
    </row>
    <row r="7" spans="1:8" s="18" customFormat="1" ht="21" customHeight="1" x14ac:dyDescent="0.25">
      <c r="A7" s="16" t="s">
        <v>95</v>
      </c>
      <c r="B7" s="8" t="s">
        <v>88</v>
      </c>
      <c r="C7" s="8" t="s">
        <v>80</v>
      </c>
      <c r="D7" s="8" t="s">
        <v>81</v>
      </c>
      <c r="E7" s="8" t="s">
        <v>96</v>
      </c>
      <c r="F7" s="17">
        <f>hesoluongcanban_vv*luongcanban_1*kpcd_2</f>
        <v>322202</v>
      </c>
    </row>
    <row r="8" spans="1:8" s="20" customFormat="1" ht="21" customHeight="1" x14ac:dyDescent="0.25">
      <c r="A8" s="285" t="s">
        <v>49</v>
      </c>
      <c r="B8" s="286"/>
      <c r="C8" s="286"/>
      <c r="D8" s="286"/>
      <c r="E8" s="287"/>
      <c r="F8" s="19">
        <f>SUM(F9:F9)</f>
        <v>23180</v>
      </c>
      <c r="G8" s="111">
        <f>F8+F14</f>
        <v>3721841.9599999995</v>
      </c>
      <c r="H8" s="111">
        <f>G8-[4]KP_CD!$F$6</f>
        <v>3238121.9599999995</v>
      </c>
    </row>
    <row r="9" spans="1:8" s="18" customFormat="1" ht="21" customHeight="1" x14ac:dyDescent="0.25">
      <c r="A9" s="16" t="s">
        <v>95</v>
      </c>
      <c r="B9" s="8" t="s">
        <v>509</v>
      </c>
      <c r="C9" s="8" t="s">
        <v>80</v>
      </c>
      <c r="D9" s="8" t="s">
        <v>81</v>
      </c>
      <c r="E9" s="8" t="s">
        <v>96</v>
      </c>
      <c r="F9" s="17">
        <f>hesoluongcanban_vv*luongcanban_2*kpcd_2</f>
        <v>23180</v>
      </c>
    </row>
    <row r="10" spans="1:8" s="20" customFormat="1" ht="21" customHeight="1" x14ac:dyDescent="0.25">
      <c r="A10" s="285" t="s">
        <v>49</v>
      </c>
      <c r="B10" s="286"/>
      <c r="C10" s="286"/>
      <c r="D10" s="286"/>
      <c r="E10" s="287"/>
      <c r="F10" s="19">
        <f>SUM(F11:F11)</f>
        <v>176530</v>
      </c>
    </row>
    <row r="11" spans="1:8" s="18" customFormat="1" ht="21" customHeight="1" x14ac:dyDescent="0.25">
      <c r="A11" s="16" t="s">
        <v>95</v>
      </c>
      <c r="B11" s="8" t="s">
        <v>79</v>
      </c>
      <c r="C11" s="8" t="s">
        <v>80</v>
      </c>
      <c r="D11" s="8" t="s">
        <v>81</v>
      </c>
      <c r="E11" s="8" t="s">
        <v>89</v>
      </c>
      <c r="F11" s="17">
        <f>'Luong HĐ 68'!hesoluongcanban_vv*luongcanban_1*kpcd_2</f>
        <v>176530</v>
      </c>
    </row>
    <row r="12" spans="1:8" s="20" customFormat="1" ht="21" customHeight="1" x14ac:dyDescent="0.25">
      <c r="A12" s="285" t="s">
        <v>49</v>
      </c>
      <c r="B12" s="286"/>
      <c r="C12" s="286"/>
      <c r="D12" s="286"/>
      <c r="E12" s="287"/>
      <c r="F12" s="19">
        <f>SUM(F13:F13)</f>
        <v>12700</v>
      </c>
    </row>
    <row r="13" spans="1:8" s="18" customFormat="1" ht="21" customHeight="1" x14ac:dyDescent="0.25">
      <c r="A13" s="16" t="s">
        <v>95</v>
      </c>
      <c r="B13" s="8" t="s">
        <v>100</v>
      </c>
      <c r="C13" s="8" t="s">
        <v>80</v>
      </c>
      <c r="D13" s="8" t="s">
        <v>81</v>
      </c>
      <c r="E13" s="8" t="s">
        <v>89</v>
      </c>
      <c r="F13" s="17">
        <f>'Luong HĐ 68'!hesoluongcanban_vv*luongcanban_2*kpcd_2</f>
        <v>12700</v>
      </c>
    </row>
    <row r="14" spans="1:8" s="20" customFormat="1" ht="21" customHeight="1" x14ac:dyDescent="0.25">
      <c r="A14" s="285" t="s">
        <v>90</v>
      </c>
      <c r="B14" s="286"/>
      <c r="C14" s="286"/>
      <c r="D14" s="286"/>
      <c r="E14" s="287"/>
      <c r="F14" s="19">
        <f>F2+F4+F6+F10</f>
        <v>3698661.9599999995</v>
      </c>
    </row>
  </sheetData>
  <mergeCells count="8">
    <mergeCell ref="A14:E14"/>
    <mergeCell ref="A6:E6"/>
    <mergeCell ref="A1:F1"/>
    <mergeCell ref="A2:E2"/>
    <mergeCell ref="A4:E4"/>
    <mergeCell ref="A10:E10"/>
    <mergeCell ref="A8:E8"/>
    <mergeCell ref="A12:E12"/>
  </mergeCells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F62"/>
  <sheetViews>
    <sheetView workbookViewId="0">
      <pane xSplit="2" ySplit="7" topLeftCell="C35" activePane="bottomRight" state="frozen"/>
      <selection pane="topRight" activeCell="E1" sqref="E1"/>
      <selection pane="bottomLeft" activeCell="A4" sqref="A4"/>
      <selection pane="bottomRight" activeCell="H38" sqref="H38"/>
    </sheetView>
  </sheetViews>
  <sheetFormatPr defaultColWidth="9.109375" defaultRowHeight="15.6" x14ac:dyDescent="0.3"/>
  <cols>
    <col min="1" max="1" width="5" style="132" customWidth="1"/>
    <col min="2" max="2" width="27" style="132" customWidth="1"/>
    <col min="3" max="3" width="17.109375" style="132" customWidth="1"/>
    <col min="4" max="4" width="17.88671875" style="140" customWidth="1"/>
    <col min="5" max="6" width="15.44140625" style="139" customWidth="1"/>
    <col min="7" max="7" width="12.5546875" style="132" hidden="1" customWidth="1"/>
    <col min="8" max="9" width="12.33203125" style="132" customWidth="1"/>
    <col min="10" max="10" width="15.44140625" style="132" customWidth="1"/>
    <col min="11" max="11" width="15.5546875" style="138" customWidth="1"/>
    <col min="12" max="12" width="21.33203125" style="137" customWidth="1"/>
    <col min="13" max="13" width="23.6640625" style="134" customWidth="1"/>
    <col min="14" max="14" width="25.109375" style="134" customWidth="1"/>
    <col min="15" max="15" width="30.33203125" style="134" customWidth="1"/>
    <col min="16" max="18" width="20.5546875" style="134" customWidth="1"/>
    <col min="19" max="19" width="24.6640625" style="134" customWidth="1"/>
    <col min="20" max="20" width="23.6640625" style="134" customWidth="1"/>
    <col min="21" max="23" width="20.5546875" style="134" customWidth="1"/>
    <col min="24" max="24" width="20.5546875" style="136" customWidth="1"/>
    <col min="25" max="25" width="20.5546875" style="135" customWidth="1"/>
    <col min="26" max="26" width="24.5546875" style="134" customWidth="1"/>
    <col min="27" max="30" width="9.109375" style="134"/>
    <col min="31" max="31" width="16.88671875" style="134" bestFit="1" customWidth="1"/>
    <col min="32" max="78" width="9.109375" style="134"/>
    <col min="79" max="110" width="9.109375" style="133"/>
    <col min="111" max="16384" width="9.109375" style="132"/>
  </cols>
  <sheetData>
    <row r="1" spans="1:110" x14ac:dyDescent="0.3">
      <c r="A1" s="194" t="s">
        <v>470</v>
      </c>
      <c r="B1" s="194"/>
      <c r="F1" s="288" t="s">
        <v>484</v>
      </c>
      <c r="G1" s="288"/>
      <c r="H1" s="288"/>
      <c r="I1" s="288"/>
      <c r="J1" s="288"/>
    </row>
    <row r="2" spans="1:110" ht="29.25" customHeight="1" x14ac:dyDescent="0.3">
      <c r="A2" s="293" t="s">
        <v>469</v>
      </c>
      <c r="B2" s="293"/>
      <c r="F2" s="295" t="s">
        <v>496</v>
      </c>
      <c r="G2" s="296"/>
      <c r="H2" s="296"/>
      <c r="I2" s="296"/>
      <c r="J2" s="296"/>
    </row>
    <row r="3" spans="1:110" x14ac:dyDescent="0.3">
      <c r="A3" s="291"/>
      <c r="B3" s="291"/>
    </row>
    <row r="4" spans="1:110" ht="17.399999999999999" x14ac:dyDescent="0.3">
      <c r="A4" s="294" t="s">
        <v>468</v>
      </c>
      <c r="B4" s="294"/>
      <c r="C4" s="294"/>
      <c r="D4" s="294"/>
      <c r="E4" s="294"/>
      <c r="F4" s="294"/>
      <c r="G4" s="294"/>
      <c r="H4" s="294"/>
      <c r="I4" s="294"/>
      <c r="J4" s="294"/>
      <c r="K4" s="137">
        <f>162170349+16547540</f>
        <v>178717889</v>
      </c>
      <c r="M4" s="193" t="s">
        <v>467</v>
      </c>
      <c r="N4" s="193"/>
      <c r="O4" s="193" t="s">
        <v>297</v>
      </c>
      <c r="P4" s="193"/>
      <c r="Q4" s="193" t="s">
        <v>466</v>
      </c>
      <c r="R4" s="193"/>
      <c r="S4" s="193"/>
    </row>
    <row r="5" spans="1:110" ht="17.399999999999999" x14ac:dyDescent="0.3">
      <c r="A5" s="294" t="s">
        <v>504</v>
      </c>
      <c r="B5" s="294"/>
      <c r="C5" s="294"/>
      <c r="D5" s="294"/>
      <c r="E5" s="294"/>
      <c r="F5" s="294"/>
      <c r="G5" s="294"/>
      <c r="H5" s="294"/>
      <c r="I5" s="294"/>
      <c r="J5" s="294"/>
      <c r="K5" s="137"/>
      <c r="M5" s="193"/>
      <c r="N5" s="193"/>
      <c r="O5" s="193"/>
      <c r="P5" s="193"/>
      <c r="Q5" s="193"/>
      <c r="R5" s="193"/>
      <c r="S5" s="193"/>
    </row>
    <row r="6" spans="1:110" ht="17.399999999999999" x14ac:dyDescent="0.3">
      <c r="A6" s="297"/>
      <c r="B6" s="297"/>
      <c r="C6" s="297"/>
      <c r="D6" s="297"/>
      <c r="E6" s="297"/>
      <c r="F6" s="297"/>
      <c r="G6" s="297"/>
      <c r="H6" s="297"/>
      <c r="I6" s="297"/>
      <c r="J6" s="297"/>
      <c r="K6" s="137"/>
      <c r="M6" s="193"/>
      <c r="N6" s="193"/>
      <c r="O6" s="193"/>
      <c r="P6" s="193"/>
      <c r="Q6" s="193"/>
      <c r="R6" s="193"/>
      <c r="S6" s="193"/>
    </row>
    <row r="7" spans="1:110" s="181" customFormat="1" ht="46.8" x14ac:dyDescent="0.25">
      <c r="A7" s="188" t="s">
        <v>300</v>
      </c>
      <c r="B7" s="192" t="s">
        <v>465</v>
      </c>
      <c r="C7" s="188" t="s">
        <v>464</v>
      </c>
      <c r="D7" s="191" t="s">
        <v>463</v>
      </c>
      <c r="E7" s="190" t="s">
        <v>471</v>
      </c>
      <c r="F7" s="190" t="s">
        <v>485</v>
      </c>
      <c r="G7" s="189" t="s">
        <v>462</v>
      </c>
      <c r="H7" s="189" t="s">
        <v>486</v>
      </c>
      <c r="I7" s="189" t="s">
        <v>505</v>
      </c>
      <c r="J7" s="188" t="s">
        <v>461</v>
      </c>
      <c r="L7" s="187"/>
      <c r="M7" s="183" t="s">
        <v>460</v>
      </c>
      <c r="N7" s="183" t="s">
        <v>459</v>
      </c>
      <c r="O7" s="183" t="s">
        <v>458</v>
      </c>
      <c r="P7" s="183" t="s">
        <v>457</v>
      </c>
      <c r="Q7" s="183" t="s">
        <v>456</v>
      </c>
      <c r="R7" s="183" t="s">
        <v>455</v>
      </c>
      <c r="S7" s="183" t="s">
        <v>454</v>
      </c>
      <c r="T7" s="183" t="s">
        <v>272</v>
      </c>
      <c r="U7" s="183" t="s">
        <v>453</v>
      </c>
      <c r="V7" s="183" t="s">
        <v>452</v>
      </c>
      <c r="W7" s="183" t="s">
        <v>451</v>
      </c>
      <c r="X7" s="186" t="s">
        <v>450</v>
      </c>
      <c r="Y7" s="185" t="s">
        <v>450</v>
      </c>
      <c r="Z7" s="184" t="s">
        <v>449</v>
      </c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2"/>
      <c r="CO7" s="182"/>
      <c r="CP7" s="182"/>
      <c r="CQ7" s="182"/>
      <c r="CR7" s="182"/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</row>
    <row r="8" spans="1:110" s="181" customFormat="1" x14ac:dyDescent="0.25">
      <c r="A8" s="214" t="s">
        <v>309</v>
      </c>
      <c r="B8" s="215" t="s">
        <v>310</v>
      </c>
      <c r="C8" s="214" t="s">
        <v>492</v>
      </c>
      <c r="D8" s="175" t="s">
        <v>493</v>
      </c>
      <c r="E8" s="216">
        <v>1</v>
      </c>
      <c r="F8" s="216">
        <v>2</v>
      </c>
      <c r="G8" s="217"/>
      <c r="H8" s="217">
        <v>3</v>
      </c>
      <c r="I8" s="217">
        <v>3</v>
      </c>
      <c r="J8" s="214">
        <v>4</v>
      </c>
      <c r="L8" s="187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6"/>
      <c r="Y8" s="185"/>
      <c r="Z8" s="184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2"/>
      <c r="CB8" s="182"/>
      <c r="CC8" s="182"/>
      <c r="CD8" s="182"/>
      <c r="CE8" s="182"/>
      <c r="CF8" s="182"/>
      <c r="CG8" s="182"/>
      <c r="CH8" s="182"/>
      <c r="CI8" s="182"/>
      <c r="CJ8" s="182"/>
      <c r="CK8" s="182"/>
      <c r="CL8" s="182"/>
      <c r="CM8" s="182"/>
      <c r="CN8" s="182"/>
      <c r="CO8" s="182"/>
      <c r="CP8" s="182"/>
      <c r="CQ8" s="182"/>
      <c r="CR8" s="182"/>
      <c r="CS8" s="182"/>
      <c r="CT8" s="182"/>
      <c r="CU8" s="182"/>
      <c r="CV8" s="182"/>
      <c r="CW8" s="182"/>
      <c r="CX8" s="182"/>
      <c r="CY8" s="182"/>
      <c r="CZ8" s="182"/>
      <c r="DA8" s="182"/>
      <c r="DB8" s="182"/>
      <c r="DC8" s="182"/>
      <c r="DD8" s="182"/>
      <c r="DE8" s="182"/>
      <c r="DF8" s="182"/>
    </row>
    <row r="9" spans="1:110" x14ac:dyDescent="0.3">
      <c r="A9" s="175" t="s">
        <v>3</v>
      </c>
      <c r="B9" s="174" t="s">
        <v>321</v>
      </c>
      <c r="C9" s="174">
        <v>290356005</v>
      </c>
      <c r="D9" s="176" t="s">
        <v>448</v>
      </c>
      <c r="E9" s="212">
        <v>12795159</v>
      </c>
      <c r="F9" s="168">
        <v>0</v>
      </c>
      <c r="G9" s="170"/>
      <c r="H9" s="170">
        <f>200000+350000</f>
        <v>550000</v>
      </c>
      <c r="I9" s="170"/>
      <c r="J9" s="169">
        <f>SUM(E9:I9)</f>
        <v>13345159</v>
      </c>
      <c r="K9" s="168">
        <f>783673.56+5425</f>
        <v>789098.56</v>
      </c>
      <c r="L9" s="137">
        <f t="shared" ref="L9:L33" si="0">SUM(M9:IV9)</f>
        <v>11431369</v>
      </c>
      <c r="M9" s="134">
        <f>10463125-5</f>
        <v>10463120</v>
      </c>
      <c r="N9" s="134">
        <v>778249</v>
      </c>
      <c r="R9" s="134">
        <v>350000</v>
      </c>
      <c r="V9" s="134">
        <v>140000</v>
      </c>
      <c r="W9" s="134">
        <v>-300000</v>
      </c>
    </row>
    <row r="10" spans="1:110" x14ac:dyDescent="0.3">
      <c r="A10" s="175" t="s">
        <v>4</v>
      </c>
      <c r="B10" s="174" t="s">
        <v>447</v>
      </c>
      <c r="C10" s="174" t="s">
        <v>446</v>
      </c>
      <c r="D10" s="172" t="s">
        <v>445</v>
      </c>
      <c r="E10" s="212">
        <v>7715926.1400000006</v>
      </c>
      <c r="F10" s="168">
        <v>0</v>
      </c>
      <c r="G10" s="170"/>
      <c r="H10" s="170">
        <v>500000</v>
      </c>
      <c r="I10" s="170">
        <v>150000</v>
      </c>
      <c r="J10" s="169">
        <f t="shared" ref="J10:J44" si="1">SUM(E10:I10)</f>
        <v>8365926.1400000006</v>
      </c>
      <c r="K10" s="168">
        <v>495580.95</v>
      </c>
      <c r="L10" s="137">
        <f t="shared" si="0"/>
        <v>7158392</v>
      </c>
      <c r="M10" s="134">
        <v>6662811</v>
      </c>
      <c r="N10" s="134">
        <f>495581</f>
        <v>495581</v>
      </c>
      <c r="O10" s="180"/>
      <c r="R10" s="134">
        <v>300000</v>
      </c>
      <c r="W10" s="134">
        <v>-300000</v>
      </c>
    </row>
    <row r="11" spans="1:110" x14ac:dyDescent="0.3">
      <c r="A11" s="175" t="s">
        <v>5</v>
      </c>
      <c r="B11" s="174" t="s">
        <v>444</v>
      </c>
      <c r="C11" s="174" t="s">
        <v>443</v>
      </c>
      <c r="D11" s="172" t="s">
        <v>442</v>
      </c>
      <c r="E11" s="212">
        <v>6523131.0000000009</v>
      </c>
      <c r="F11" s="168">
        <v>0</v>
      </c>
      <c r="G11" s="170"/>
      <c r="H11" s="170">
        <v>500000</v>
      </c>
      <c r="I11" s="170"/>
      <c r="J11" s="169">
        <f t="shared" si="1"/>
        <v>7023131.0000000009</v>
      </c>
      <c r="K11" s="168">
        <v>422361.00000000006</v>
      </c>
      <c r="L11" s="137">
        <f t="shared" si="0"/>
        <v>6100770</v>
      </c>
      <c r="M11" s="134">
        <v>5678409</v>
      </c>
      <c r="N11" s="134">
        <v>422361</v>
      </c>
      <c r="R11" s="134">
        <v>300000</v>
      </c>
      <c r="W11" s="134">
        <v>-300000</v>
      </c>
    </row>
    <row r="12" spans="1:110" x14ac:dyDescent="0.3">
      <c r="A12" s="175" t="s">
        <v>6</v>
      </c>
      <c r="B12" s="174" t="s">
        <v>108</v>
      </c>
      <c r="C12" s="174" t="s">
        <v>441</v>
      </c>
      <c r="D12" s="176" t="s">
        <v>440</v>
      </c>
      <c r="E12" s="212">
        <v>6002784.5</v>
      </c>
      <c r="F12" s="168">
        <v>0</v>
      </c>
      <c r="G12" s="170"/>
      <c r="H12" s="170"/>
      <c r="I12" s="170"/>
      <c r="J12" s="169">
        <f t="shared" si="1"/>
        <v>6002784.5</v>
      </c>
      <c r="K12" s="168">
        <v>353088</v>
      </c>
      <c r="L12" s="137">
        <f t="shared" si="0"/>
        <v>5100160</v>
      </c>
      <c r="M12" s="134">
        <v>4747072</v>
      </c>
      <c r="N12" s="134">
        <v>353088</v>
      </c>
    </row>
    <row r="13" spans="1:110" x14ac:dyDescent="0.3">
      <c r="A13" s="175" t="s">
        <v>7</v>
      </c>
      <c r="B13" s="174" t="s">
        <v>439</v>
      </c>
      <c r="C13" s="174" t="s">
        <v>438</v>
      </c>
      <c r="D13" s="176" t="s">
        <v>503</v>
      </c>
      <c r="E13" s="212">
        <v>4793901.5</v>
      </c>
      <c r="F13" s="168">
        <v>0</v>
      </c>
      <c r="G13" s="170"/>
      <c r="H13" s="170"/>
      <c r="I13" s="170"/>
      <c r="J13" s="169">
        <f t="shared" si="1"/>
        <v>4793901.5</v>
      </c>
      <c r="K13" s="168">
        <v>283815</v>
      </c>
      <c r="L13" s="137">
        <f t="shared" si="0"/>
        <v>2239550</v>
      </c>
      <c r="M13" s="134">
        <v>3815735</v>
      </c>
      <c r="N13" s="134">
        <v>283815</v>
      </c>
      <c r="T13" s="134">
        <v>300000</v>
      </c>
      <c r="U13" s="134">
        <v>-300000</v>
      </c>
      <c r="V13" s="134">
        <v>140000</v>
      </c>
      <c r="Z13" s="134">
        <v>-2000000</v>
      </c>
    </row>
    <row r="14" spans="1:110" x14ac:dyDescent="0.3">
      <c r="A14" s="175" t="s">
        <v>8</v>
      </c>
      <c r="B14" s="174" t="s">
        <v>434</v>
      </c>
      <c r="C14" s="174" t="s">
        <v>433</v>
      </c>
      <c r="D14" s="176" t="s">
        <v>432</v>
      </c>
      <c r="E14" s="212">
        <v>4970223.0000000009</v>
      </c>
      <c r="F14" s="168">
        <v>0</v>
      </c>
      <c r="G14" s="170"/>
      <c r="H14" s="170"/>
      <c r="I14" s="170"/>
      <c r="J14" s="169">
        <f t="shared" si="1"/>
        <v>4970223.0000000009</v>
      </c>
      <c r="K14" s="168">
        <v>305703</v>
      </c>
      <c r="L14" s="137">
        <f t="shared" si="0"/>
        <v>4483506</v>
      </c>
      <c r="M14" s="134">
        <v>4173109</v>
      </c>
      <c r="N14" s="134">
        <v>310397</v>
      </c>
    </row>
    <row r="15" spans="1:110" x14ac:dyDescent="0.3">
      <c r="A15" s="175" t="s">
        <v>9</v>
      </c>
      <c r="B15" s="174" t="s">
        <v>431</v>
      </c>
      <c r="C15" s="174" t="s">
        <v>430</v>
      </c>
      <c r="D15" s="176" t="s">
        <v>429</v>
      </c>
      <c r="E15" s="212">
        <v>5863784.5000000009</v>
      </c>
      <c r="F15" s="168">
        <v>0</v>
      </c>
      <c r="G15" s="170"/>
      <c r="H15" s="170"/>
      <c r="I15" s="170"/>
      <c r="J15" s="169">
        <f t="shared" si="1"/>
        <v>5863784.5000000009</v>
      </c>
      <c r="K15" s="178">
        <v>353088</v>
      </c>
      <c r="L15" s="137">
        <f t="shared" si="0"/>
        <v>1554910</v>
      </c>
      <c r="M15" s="134">
        <v>3122647</v>
      </c>
      <c r="N15" s="134">
        <v>232263</v>
      </c>
      <c r="W15" s="134">
        <v>-300000</v>
      </c>
      <c r="X15" s="136">
        <v>-1500000</v>
      </c>
    </row>
    <row r="16" spans="1:110" ht="15.75" customHeight="1" x14ac:dyDescent="0.3">
      <c r="A16" s="175" t="s">
        <v>10</v>
      </c>
      <c r="B16" s="174" t="s">
        <v>428</v>
      </c>
      <c r="C16" s="174" t="s">
        <v>427</v>
      </c>
      <c r="D16" s="176" t="s">
        <v>426</v>
      </c>
      <c r="E16" s="212">
        <v>5204438</v>
      </c>
      <c r="F16" s="168">
        <v>0</v>
      </c>
      <c r="G16" s="170"/>
      <c r="H16" s="170"/>
      <c r="I16" s="170"/>
      <c r="J16" s="169">
        <f t="shared" si="1"/>
        <v>5204438</v>
      </c>
      <c r="K16" s="178">
        <v>310396.5</v>
      </c>
      <c r="L16" s="137">
        <f t="shared" si="0"/>
        <v>4800160</v>
      </c>
      <c r="M16" s="134">
        <v>4747072</v>
      </c>
      <c r="N16" s="134">
        <v>353088</v>
      </c>
      <c r="W16" s="134">
        <v>-300000</v>
      </c>
    </row>
    <row r="17" spans="1:110" x14ac:dyDescent="0.3">
      <c r="A17" s="175" t="s">
        <v>11</v>
      </c>
      <c r="B17" s="174" t="s">
        <v>425</v>
      </c>
      <c r="C17" s="174" t="s">
        <v>424</v>
      </c>
      <c r="D17" s="172" t="s">
        <v>423</v>
      </c>
      <c r="E17" s="212">
        <v>4420686.5</v>
      </c>
      <c r="F17" s="168">
        <v>0</v>
      </c>
      <c r="G17" s="170"/>
      <c r="H17" s="170"/>
      <c r="I17" s="170"/>
      <c r="J17" s="169">
        <f t="shared" si="1"/>
        <v>4420686.5</v>
      </c>
      <c r="K17" s="178">
        <v>237096.00000000006</v>
      </c>
      <c r="L17" s="137">
        <f t="shared" si="0"/>
        <v>4323506</v>
      </c>
      <c r="M17" s="134">
        <v>4173109</v>
      </c>
      <c r="N17" s="134">
        <v>310397</v>
      </c>
      <c r="V17" s="134">
        <v>140000</v>
      </c>
      <c r="W17" s="134">
        <v>-300000</v>
      </c>
    </row>
    <row r="18" spans="1:110" x14ac:dyDescent="0.3">
      <c r="A18" s="175" t="s">
        <v>12</v>
      </c>
      <c r="B18" s="174" t="s">
        <v>285</v>
      </c>
      <c r="C18" s="174" t="s">
        <v>422</v>
      </c>
      <c r="D18" s="176" t="s">
        <v>421</v>
      </c>
      <c r="E18" s="212">
        <v>4010150</v>
      </c>
      <c r="F18" s="168">
        <v>0</v>
      </c>
      <c r="G18" s="170">
        <v>0</v>
      </c>
      <c r="H18" s="170"/>
      <c r="I18" s="170"/>
      <c r="J18" s="169">
        <f t="shared" si="1"/>
        <v>4010150</v>
      </c>
      <c r="K18" s="178">
        <v>259650</v>
      </c>
      <c r="L18" s="137">
        <f t="shared" si="0"/>
        <v>3424720</v>
      </c>
      <c r="M18" s="134">
        <v>3187624</v>
      </c>
      <c r="N18" s="163">
        <v>237096</v>
      </c>
    </row>
    <row r="19" spans="1:110" x14ac:dyDescent="0.3">
      <c r="A19" s="175" t="s">
        <v>13</v>
      </c>
      <c r="B19" s="174" t="s">
        <v>341</v>
      </c>
      <c r="C19" s="174">
        <v>191540040</v>
      </c>
      <c r="D19" s="176" t="s">
        <v>420</v>
      </c>
      <c r="E19" s="212">
        <v>3599613.5</v>
      </c>
      <c r="F19" s="168">
        <v>0</v>
      </c>
      <c r="G19" s="170">
        <v>0</v>
      </c>
      <c r="H19" s="170"/>
      <c r="I19" s="170"/>
      <c r="J19" s="169">
        <f t="shared" si="1"/>
        <v>3599613.5</v>
      </c>
      <c r="K19" s="178">
        <v>206487</v>
      </c>
      <c r="L19" s="137">
        <f t="shared" si="0"/>
        <v>3950500</v>
      </c>
      <c r="M19" s="134">
        <v>3490850</v>
      </c>
      <c r="N19" s="134">
        <v>259650</v>
      </c>
      <c r="T19" s="134">
        <v>200000</v>
      </c>
    </row>
    <row r="20" spans="1:110" x14ac:dyDescent="0.3">
      <c r="A20" s="175" t="s">
        <v>14</v>
      </c>
      <c r="B20" s="174" t="s">
        <v>437</v>
      </c>
      <c r="C20" s="174">
        <v>111600048</v>
      </c>
      <c r="D20" s="176" t="s">
        <v>436</v>
      </c>
      <c r="E20" s="212">
        <v>5204438</v>
      </c>
      <c r="F20" s="168">
        <v>0</v>
      </c>
      <c r="G20" s="170"/>
      <c r="H20" s="170"/>
      <c r="I20" s="170"/>
      <c r="J20" s="169">
        <f t="shared" si="1"/>
        <v>5204438</v>
      </c>
      <c r="K20" s="168">
        <v>310397</v>
      </c>
      <c r="L20" s="137">
        <f t="shared" si="0"/>
        <v>300000</v>
      </c>
      <c r="O20" s="179"/>
      <c r="T20" s="179"/>
      <c r="U20" s="134">
        <v>300000</v>
      </c>
      <c r="AA20" s="134" t="s">
        <v>435</v>
      </c>
    </row>
    <row r="21" spans="1:110" x14ac:dyDescent="0.3">
      <c r="A21" s="175" t="s">
        <v>31</v>
      </c>
      <c r="B21" s="174" t="s">
        <v>252</v>
      </c>
      <c r="C21" s="174" t="s">
        <v>394</v>
      </c>
      <c r="D21" s="172" t="s">
        <v>393</v>
      </c>
      <c r="E21" s="212">
        <v>4010150</v>
      </c>
      <c r="F21" s="168">
        <v>0</v>
      </c>
      <c r="G21" s="170">
        <v>0</v>
      </c>
      <c r="H21" s="170"/>
      <c r="I21" s="170"/>
      <c r="J21" s="169">
        <f t="shared" si="1"/>
        <v>4010150</v>
      </c>
      <c r="K21" s="168">
        <v>233069</v>
      </c>
      <c r="L21" s="137">
        <f t="shared" si="0"/>
        <v>3950500</v>
      </c>
      <c r="M21" s="134">
        <v>3490850</v>
      </c>
      <c r="N21" s="134">
        <v>259650</v>
      </c>
      <c r="T21" s="134">
        <v>200000</v>
      </c>
    </row>
    <row r="22" spans="1:110" s="148" customFormat="1" x14ac:dyDescent="0.3">
      <c r="A22" s="175" t="s">
        <v>32</v>
      </c>
      <c r="B22" s="174" t="s">
        <v>362</v>
      </c>
      <c r="C22" s="174">
        <v>72071000780</v>
      </c>
      <c r="D22" s="172" t="s">
        <v>416</v>
      </c>
      <c r="E22" s="213">
        <v>9890884</v>
      </c>
      <c r="F22" s="168">
        <v>0</v>
      </c>
      <c r="G22" s="170">
        <v>0</v>
      </c>
      <c r="H22" s="170"/>
      <c r="I22" s="170"/>
      <c r="J22" s="169">
        <f t="shared" si="1"/>
        <v>9890884</v>
      </c>
      <c r="K22" s="168">
        <v>593541</v>
      </c>
      <c r="L22" s="154">
        <f t="shared" si="0"/>
        <v>6742754</v>
      </c>
      <c r="M22" s="150">
        <v>6275948</v>
      </c>
      <c r="N22" s="150">
        <v>466806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2"/>
      <c r="Y22" s="151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/>
      <c r="CP22" s="149"/>
      <c r="CQ22" s="149"/>
      <c r="CR22" s="149"/>
      <c r="CS22" s="149"/>
      <c r="CT22" s="149"/>
      <c r="CU22" s="149"/>
      <c r="CV22" s="149"/>
      <c r="CW22" s="149"/>
      <c r="CX22" s="149"/>
      <c r="CY22" s="149"/>
      <c r="CZ22" s="149"/>
      <c r="DA22" s="149"/>
      <c r="DB22" s="149"/>
      <c r="DC22" s="149"/>
      <c r="DD22" s="149"/>
      <c r="DE22" s="149"/>
      <c r="DF22" s="149"/>
    </row>
    <row r="23" spans="1:110" x14ac:dyDescent="0.3">
      <c r="A23" s="175" t="s">
        <v>33</v>
      </c>
      <c r="B23" s="174" t="s">
        <v>219</v>
      </c>
      <c r="C23" s="174" t="s">
        <v>415</v>
      </c>
      <c r="D23" s="172" t="s">
        <v>414</v>
      </c>
      <c r="E23" s="213">
        <v>7619216.8900000006</v>
      </c>
      <c r="F23" s="168">
        <v>0</v>
      </c>
      <c r="G23" s="170">
        <v>0</v>
      </c>
      <c r="H23" s="170"/>
      <c r="I23" s="170"/>
      <c r="J23" s="169">
        <f t="shared" si="1"/>
        <v>7619216.8900000006</v>
      </c>
      <c r="K23" s="168">
        <v>466806.05999999994</v>
      </c>
      <c r="L23" s="137">
        <f t="shared" si="0"/>
        <v>6169954</v>
      </c>
      <c r="M23" s="134">
        <v>5742803</v>
      </c>
      <c r="N23" s="134">
        <v>427151</v>
      </c>
    </row>
    <row r="24" spans="1:110" x14ac:dyDescent="0.3">
      <c r="A24" s="175" t="s">
        <v>34</v>
      </c>
      <c r="B24" s="174" t="s">
        <v>220</v>
      </c>
      <c r="C24" s="174" t="s">
        <v>413</v>
      </c>
      <c r="D24" s="172" t="s">
        <v>412</v>
      </c>
      <c r="E24" s="212">
        <v>7073059.4799999995</v>
      </c>
      <c r="F24" s="168">
        <v>0</v>
      </c>
      <c r="G24" s="170">
        <v>0</v>
      </c>
      <c r="H24" s="170"/>
      <c r="I24" s="170"/>
      <c r="J24" s="169">
        <f t="shared" si="1"/>
        <v>7073059.4799999995</v>
      </c>
      <c r="K24" s="168">
        <v>427150.62000000005</v>
      </c>
      <c r="L24" s="137">
        <f t="shared" si="0"/>
        <v>5748909</v>
      </c>
      <c r="M24" s="134">
        <v>5350908</v>
      </c>
      <c r="N24" s="134">
        <v>398001</v>
      </c>
    </row>
    <row r="25" spans="1:110" x14ac:dyDescent="0.3">
      <c r="A25" s="175" t="s">
        <v>35</v>
      </c>
      <c r="B25" s="174" t="s">
        <v>221</v>
      </c>
      <c r="C25" s="174">
        <v>291068224</v>
      </c>
      <c r="D25" s="172" t="s">
        <v>411</v>
      </c>
      <c r="E25" s="212">
        <v>6577218.6800000016</v>
      </c>
      <c r="F25" s="168">
        <v>0</v>
      </c>
      <c r="G25" s="170">
        <v>0</v>
      </c>
      <c r="H25" s="170"/>
      <c r="I25" s="170"/>
      <c r="J25" s="169">
        <f t="shared" si="1"/>
        <v>6577218.6800000016</v>
      </c>
      <c r="K25" s="168">
        <v>398001.42</v>
      </c>
      <c r="L25" s="137">
        <f t="shared" si="0"/>
        <v>4193542</v>
      </c>
      <c r="M25" s="134">
        <v>3903220</v>
      </c>
      <c r="N25" s="134">
        <v>290322</v>
      </c>
    </row>
    <row r="26" spans="1:110" x14ac:dyDescent="0.3">
      <c r="A26" s="175" t="s">
        <v>36</v>
      </c>
      <c r="B26" s="174" t="s">
        <v>222</v>
      </c>
      <c r="C26" s="174" t="s">
        <v>410</v>
      </c>
      <c r="D26" s="172" t="s">
        <v>409</v>
      </c>
      <c r="E26" s="212">
        <v>4869386.8400000008</v>
      </c>
      <c r="F26" s="168">
        <v>0</v>
      </c>
      <c r="G26" s="170">
        <v>0</v>
      </c>
      <c r="H26" s="170"/>
      <c r="I26" s="170"/>
      <c r="J26" s="169">
        <f t="shared" si="1"/>
        <v>4869386.8400000008</v>
      </c>
      <c r="K26" s="168">
        <v>290322.18</v>
      </c>
      <c r="L26" s="137">
        <f t="shared" si="0"/>
        <v>4393542</v>
      </c>
      <c r="M26" s="134">
        <v>3903220</v>
      </c>
      <c r="N26" s="134">
        <v>290322</v>
      </c>
      <c r="T26" s="134">
        <v>200000</v>
      </c>
    </row>
    <row r="27" spans="1:110" x14ac:dyDescent="0.3">
      <c r="A27" s="175" t="s">
        <v>37</v>
      </c>
      <c r="B27" s="174" t="s">
        <v>224</v>
      </c>
      <c r="C27" s="174" t="s">
        <v>408</v>
      </c>
      <c r="D27" s="172" t="s">
        <v>407</v>
      </c>
      <c r="E27" s="212">
        <v>4326653.0000000009</v>
      </c>
      <c r="F27" s="168">
        <v>0</v>
      </c>
      <c r="G27" s="170">
        <v>0</v>
      </c>
      <c r="H27" s="170"/>
      <c r="I27" s="170"/>
      <c r="J27" s="169">
        <f t="shared" si="1"/>
        <v>4326653.0000000009</v>
      </c>
      <c r="K27" s="168">
        <v>260433</v>
      </c>
      <c r="L27" s="137">
        <f t="shared" si="0"/>
        <v>3761810</v>
      </c>
      <c r="M27" s="134">
        <v>3501377</v>
      </c>
      <c r="N27" s="163">
        <v>260433</v>
      </c>
    </row>
    <row r="28" spans="1:110" x14ac:dyDescent="0.3">
      <c r="A28" s="175" t="s">
        <v>38</v>
      </c>
      <c r="B28" s="174" t="s">
        <v>253</v>
      </c>
      <c r="C28" s="174" t="s">
        <v>406</v>
      </c>
      <c r="D28" s="172" t="s">
        <v>405</v>
      </c>
      <c r="E28" s="212">
        <v>4326653.0000000009</v>
      </c>
      <c r="F28" s="168">
        <v>0</v>
      </c>
      <c r="G28" s="170">
        <v>0</v>
      </c>
      <c r="H28" s="170"/>
      <c r="I28" s="170"/>
      <c r="J28" s="169">
        <f t="shared" si="1"/>
        <v>4326653.0000000009</v>
      </c>
      <c r="K28" s="168">
        <v>260433</v>
      </c>
      <c r="L28" s="137">
        <f t="shared" si="0"/>
        <v>3477110</v>
      </c>
      <c r="M28" s="134">
        <v>3236387</v>
      </c>
      <c r="N28" s="134">
        <v>240723</v>
      </c>
    </row>
    <row r="29" spans="1:110" x14ac:dyDescent="0.3">
      <c r="A29" s="175" t="s">
        <v>39</v>
      </c>
      <c r="B29" s="174" t="s">
        <v>284</v>
      </c>
      <c r="C29" s="174">
        <v>290929473</v>
      </c>
      <c r="D29" s="172" t="s">
        <v>404</v>
      </c>
      <c r="E29" s="212">
        <v>4022243</v>
      </c>
      <c r="F29" s="168">
        <v>0</v>
      </c>
      <c r="G29" s="170">
        <v>0</v>
      </c>
      <c r="H29" s="170"/>
      <c r="I29" s="170"/>
      <c r="J29" s="169">
        <f t="shared" si="1"/>
        <v>4022243</v>
      </c>
      <c r="K29" s="168">
        <v>240723</v>
      </c>
      <c r="L29" s="137">
        <f t="shared" si="0"/>
        <v>4800160</v>
      </c>
      <c r="M29" s="134">
        <v>4747072</v>
      </c>
      <c r="N29" s="163">
        <v>353088</v>
      </c>
      <c r="W29" s="134">
        <v>-300000</v>
      </c>
    </row>
    <row r="30" spans="1:110" x14ac:dyDescent="0.3">
      <c r="A30" s="175" t="s">
        <v>40</v>
      </c>
      <c r="B30" s="174" t="s">
        <v>286</v>
      </c>
      <c r="C30" s="174">
        <v>183372343</v>
      </c>
      <c r="D30" s="172" t="s">
        <v>392</v>
      </c>
      <c r="E30" s="212">
        <v>4341873.5</v>
      </c>
      <c r="F30" s="168">
        <v>0</v>
      </c>
      <c r="G30" s="170">
        <v>0</v>
      </c>
      <c r="H30" s="170"/>
      <c r="I30" s="170"/>
      <c r="J30" s="169">
        <f t="shared" si="1"/>
        <v>4341873.5</v>
      </c>
      <c r="K30" s="168">
        <v>281129</v>
      </c>
      <c r="L30" s="137">
        <f t="shared" si="0"/>
        <v>3706539</v>
      </c>
      <c r="M30" s="134">
        <f>3133477-1</f>
        <v>3133476</v>
      </c>
      <c r="N30" s="134">
        <f>233069-6</f>
        <v>233063</v>
      </c>
      <c r="T30" s="134">
        <v>200000</v>
      </c>
      <c r="V30" s="134">
        <v>140000</v>
      </c>
    </row>
    <row r="31" spans="1:110" x14ac:dyDescent="0.3">
      <c r="A31" s="175" t="s">
        <v>41</v>
      </c>
      <c r="B31" s="174" t="s">
        <v>419</v>
      </c>
      <c r="C31" s="174" t="s">
        <v>418</v>
      </c>
      <c r="D31" s="176" t="s">
        <v>417</v>
      </c>
      <c r="E31" s="212">
        <v>3835983</v>
      </c>
      <c r="F31" s="168">
        <v>0</v>
      </c>
      <c r="G31" s="170">
        <v>0</v>
      </c>
      <c r="H31" s="170"/>
      <c r="I31" s="170"/>
      <c r="J31" s="169">
        <f t="shared" si="1"/>
        <v>3835983</v>
      </c>
      <c r="K31" s="168">
        <v>232263</v>
      </c>
      <c r="L31" s="137">
        <f t="shared" si="0"/>
        <v>3039510</v>
      </c>
      <c r="M31" s="134">
        <v>2689467</v>
      </c>
      <c r="N31" s="134">
        <v>200043</v>
      </c>
      <c r="T31" s="134">
        <v>150000</v>
      </c>
    </row>
    <row r="32" spans="1:110" x14ac:dyDescent="0.3">
      <c r="A32" s="175" t="s">
        <v>42</v>
      </c>
      <c r="B32" s="174" t="s">
        <v>403</v>
      </c>
      <c r="C32" s="174" t="s">
        <v>402</v>
      </c>
      <c r="D32" s="172" t="s">
        <v>401</v>
      </c>
      <c r="E32" s="212">
        <v>5453248</v>
      </c>
      <c r="F32" s="168">
        <v>0</v>
      </c>
      <c r="G32" s="170">
        <v>0</v>
      </c>
      <c r="H32" s="170"/>
      <c r="I32" s="170"/>
      <c r="J32" s="169">
        <f t="shared" si="1"/>
        <v>5453248</v>
      </c>
      <c r="K32" s="168">
        <v>353088</v>
      </c>
      <c r="L32" s="137">
        <f t="shared" si="0"/>
        <v>4399550</v>
      </c>
      <c r="M32" s="134">
        <v>3815735</v>
      </c>
      <c r="N32" s="134">
        <v>283815</v>
      </c>
      <c r="T32" s="134">
        <v>300000</v>
      </c>
    </row>
    <row r="33" spans="1:110" x14ac:dyDescent="0.3">
      <c r="A33" s="175" t="s">
        <v>43</v>
      </c>
      <c r="B33" s="174" t="s">
        <v>400</v>
      </c>
      <c r="C33" s="174" t="s">
        <v>399</v>
      </c>
      <c r="D33" s="172" t="s">
        <v>398</v>
      </c>
      <c r="E33" s="212">
        <v>4793901.5</v>
      </c>
      <c r="F33" s="168">
        <v>0</v>
      </c>
      <c r="G33" s="170">
        <v>0</v>
      </c>
      <c r="H33" s="170"/>
      <c r="I33" s="170"/>
      <c r="J33" s="169">
        <f t="shared" si="1"/>
        <v>4793901.5</v>
      </c>
      <c r="K33" s="168">
        <v>283815</v>
      </c>
      <c r="L33" s="137">
        <f t="shared" si="0"/>
        <v>3344036</v>
      </c>
      <c r="M33" s="134">
        <v>2972910</v>
      </c>
      <c r="N33" s="134">
        <v>221126</v>
      </c>
      <c r="T33" s="134">
        <v>150000</v>
      </c>
    </row>
    <row r="34" spans="1:110" x14ac:dyDescent="0.3">
      <c r="A34" s="175" t="s">
        <v>44</v>
      </c>
      <c r="B34" s="210" t="s">
        <v>491</v>
      </c>
      <c r="C34" s="211" t="s">
        <v>490</v>
      </c>
      <c r="D34" s="211" t="s">
        <v>489</v>
      </c>
      <c r="E34" s="212">
        <v>3974983</v>
      </c>
      <c r="F34" s="168"/>
      <c r="G34" s="170"/>
      <c r="H34" s="170"/>
      <c r="I34" s="170"/>
      <c r="J34" s="169">
        <f t="shared" si="1"/>
        <v>3974983</v>
      </c>
      <c r="K34" s="168"/>
    </row>
    <row r="35" spans="1:110" x14ac:dyDescent="0.3">
      <c r="A35" s="175" t="s">
        <v>45</v>
      </c>
      <c r="B35" s="177" t="s">
        <v>263</v>
      </c>
      <c r="C35" s="177">
        <v>172818756</v>
      </c>
      <c r="D35" s="172" t="s">
        <v>397</v>
      </c>
      <c r="E35" s="212">
        <v>3415160.5000000005</v>
      </c>
      <c r="F35" s="168">
        <v>0</v>
      </c>
      <c r="G35" s="170">
        <v>0</v>
      </c>
      <c r="H35" s="170"/>
      <c r="I35" s="170"/>
      <c r="J35" s="169">
        <f t="shared" si="1"/>
        <v>3415160.5000000005</v>
      </c>
      <c r="K35" s="168">
        <v>221126</v>
      </c>
      <c r="L35" s="137">
        <f t="shared" ref="L35:L43" si="2">SUM(M35:IV35)</f>
        <v>8166546</v>
      </c>
      <c r="M35" s="134">
        <v>3133477</v>
      </c>
      <c r="N35" s="163">
        <v>233069</v>
      </c>
      <c r="T35" s="134">
        <v>300000</v>
      </c>
      <c r="W35" s="134">
        <v>4500000</v>
      </c>
    </row>
    <row r="36" spans="1:110" x14ac:dyDescent="0.3">
      <c r="A36" s="175" t="s">
        <v>46</v>
      </c>
      <c r="B36" s="177" t="s">
        <v>396</v>
      </c>
      <c r="C36" s="177">
        <v>191544228</v>
      </c>
      <c r="D36" s="172" t="s">
        <v>395</v>
      </c>
      <c r="E36" s="212">
        <v>4420686.5</v>
      </c>
      <c r="F36" s="168">
        <v>0</v>
      </c>
      <c r="G36" s="170">
        <v>0</v>
      </c>
      <c r="H36" s="170"/>
      <c r="I36" s="170"/>
      <c r="J36" s="169">
        <f t="shared" si="1"/>
        <v>4420686.5</v>
      </c>
      <c r="K36" s="168">
        <v>259650</v>
      </c>
      <c r="L36" s="137">
        <f t="shared" si="2"/>
        <v>4160746</v>
      </c>
      <c r="M36" s="134">
        <v>3779617</v>
      </c>
      <c r="N36" s="134">
        <v>281129</v>
      </c>
      <c r="T36" s="134">
        <v>100000</v>
      </c>
    </row>
    <row r="37" spans="1:110" x14ac:dyDescent="0.3">
      <c r="A37" s="175" t="s">
        <v>47</v>
      </c>
      <c r="B37" s="174" t="s">
        <v>283</v>
      </c>
      <c r="C37" s="174" t="s">
        <v>391</v>
      </c>
      <c r="D37" s="172" t="s">
        <v>390</v>
      </c>
      <c r="E37" s="168">
        <v>0</v>
      </c>
      <c r="F37" s="168">
        <v>3599614</v>
      </c>
      <c r="G37" s="170">
        <v>0</v>
      </c>
      <c r="H37" s="170"/>
      <c r="I37" s="170"/>
      <c r="J37" s="169">
        <f t="shared" si="1"/>
        <v>3599614</v>
      </c>
      <c r="K37" s="168">
        <v>0</v>
      </c>
      <c r="L37" s="137">
        <f t="shared" si="2"/>
        <v>3366546</v>
      </c>
      <c r="M37" s="134">
        <v>3133477</v>
      </c>
      <c r="N37" s="134">
        <v>233069</v>
      </c>
    </row>
    <row r="38" spans="1:110" x14ac:dyDescent="0.3">
      <c r="A38" s="175" t="s">
        <v>48</v>
      </c>
      <c r="B38" s="174" t="s">
        <v>389</v>
      </c>
      <c r="C38" s="174" t="s">
        <v>388</v>
      </c>
      <c r="D38" s="172" t="s">
        <v>387</v>
      </c>
      <c r="E38" s="168">
        <v>4619735</v>
      </c>
      <c r="F38" s="168"/>
      <c r="G38" s="170">
        <v>0</v>
      </c>
      <c r="H38" s="170">
        <v>250000</v>
      </c>
      <c r="I38" s="170">
        <v>150000</v>
      </c>
      <c r="J38" s="169">
        <f t="shared" si="1"/>
        <v>5019735</v>
      </c>
      <c r="K38" s="168">
        <v>0</v>
      </c>
      <c r="L38" s="137">
        <f t="shared" si="2"/>
        <v>470650</v>
      </c>
      <c r="M38" s="134">
        <v>2299605</v>
      </c>
      <c r="N38" s="134">
        <v>171045</v>
      </c>
      <c r="X38" s="136">
        <v>-2000000</v>
      </c>
      <c r="Z38" s="163"/>
    </row>
    <row r="39" spans="1:110" x14ac:dyDescent="0.3">
      <c r="A39" s="175" t="s">
        <v>106</v>
      </c>
      <c r="B39" s="174" t="s">
        <v>386</v>
      </c>
      <c r="C39" s="174">
        <v>290115206</v>
      </c>
      <c r="D39" s="176" t="s">
        <v>385</v>
      </c>
      <c r="E39" s="168">
        <v>0</v>
      </c>
      <c r="F39" s="168">
        <v>3487649</v>
      </c>
      <c r="G39" s="170">
        <v>0</v>
      </c>
      <c r="H39" s="170"/>
      <c r="I39" s="170"/>
      <c r="J39" s="169">
        <f t="shared" si="1"/>
        <v>3487649</v>
      </c>
      <c r="K39" s="168">
        <v>0</v>
      </c>
      <c r="L39" s="137">
        <f t="shared" si="2"/>
        <v>2833540</v>
      </c>
      <c r="M39" s="134">
        <v>2451218</v>
      </c>
      <c r="N39" s="134">
        <v>182322</v>
      </c>
      <c r="T39" s="134">
        <v>200000</v>
      </c>
    </row>
    <row r="40" spans="1:110" x14ac:dyDescent="0.3">
      <c r="A40" s="175" t="s">
        <v>113</v>
      </c>
      <c r="B40" s="174" t="s">
        <v>487</v>
      </c>
      <c r="C40" s="174">
        <v>290878019</v>
      </c>
      <c r="D40" s="176" t="s">
        <v>488</v>
      </c>
      <c r="E40" s="168">
        <v>1522050</v>
      </c>
      <c r="F40" s="168"/>
      <c r="G40" s="170">
        <v>0</v>
      </c>
      <c r="H40" s="170"/>
      <c r="I40" s="170"/>
      <c r="J40" s="169">
        <f t="shared" si="1"/>
        <v>1522050</v>
      </c>
      <c r="K40" s="168">
        <v>0</v>
      </c>
      <c r="L40" s="137">
        <f t="shared" si="2"/>
        <v>2724110</v>
      </c>
      <c r="M40" s="134">
        <v>2556287</v>
      </c>
      <c r="N40" s="134">
        <v>167823</v>
      </c>
      <c r="W40" s="134">
        <v>0</v>
      </c>
    </row>
    <row r="41" spans="1:110" x14ac:dyDescent="0.3">
      <c r="A41" s="175" t="s">
        <v>225</v>
      </c>
      <c r="B41" s="174" t="s">
        <v>384</v>
      </c>
      <c r="C41" s="174">
        <v>194096154</v>
      </c>
      <c r="D41" s="172" t="s">
        <v>383</v>
      </c>
      <c r="E41" s="168">
        <v>0</v>
      </c>
      <c r="F41" s="168">
        <v>3004624</v>
      </c>
      <c r="G41" s="170">
        <v>0</v>
      </c>
      <c r="H41" s="170"/>
      <c r="I41" s="170"/>
      <c r="J41" s="169">
        <f t="shared" si="1"/>
        <v>3004624</v>
      </c>
      <c r="K41" s="168">
        <v>0</v>
      </c>
      <c r="L41" s="137">
        <f t="shared" si="2"/>
        <v>2889510</v>
      </c>
      <c r="M41" s="134">
        <v>2689467</v>
      </c>
      <c r="N41" s="134">
        <v>200043</v>
      </c>
    </row>
    <row r="42" spans="1:110" x14ac:dyDescent="0.3">
      <c r="A42" s="175" t="s">
        <v>226</v>
      </c>
      <c r="B42" s="174" t="s">
        <v>107</v>
      </c>
      <c r="C42" s="174" t="s">
        <v>382</v>
      </c>
      <c r="D42" s="172" t="s">
        <v>381</v>
      </c>
      <c r="E42" s="168">
        <v>0</v>
      </c>
      <c r="F42" s="168">
        <v>3039791</v>
      </c>
      <c r="G42" s="170">
        <v>0</v>
      </c>
      <c r="H42" s="170"/>
      <c r="I42" s="170"/>
      <c r="J42" s="169">
        <f t="shared" si="1"/>
        <v>3039791</v>
      </c>
      <c r="K42" s="168">
        <v>0</v>
      </c>
      <c r="L42" s="137">
        <f t="shared" si="2"/>
        <v>3122210</v>
      </c>
      <c r="M42" s="134">
        <v>2906057</v>
      </c>
      <c r="N42" s="134">
        <v>216153</v>
      </c>
    </row>
    <row r="43" spans="1:110" x14ac:dyDescent="0.3">
      <c r="A43" s="175" t="s">
        <v>227</v>
      </c>
      <c r="B43" s="174" t="s">
        <v>251</v>
      </c>
      <c r="C43" s="174">
        <v>290823253</v>
      </c>
      <c r="D43" s="176" t="s">
        <v>380</v>
      </c>
      <c r="E43" s="168">
        <v>0</v>
      </c>
      <c r="F43" s="168">
        <f>3115862-300000</f>
        <v>2815862</v>
      </c>
      <c r="G43" s="170">
        <v>0</v>
      </c>
      <c r="H43" s="170"/>
      <c r="I43" s="170"/>
      <c r="J43" s="169">
        <f t="shared" si="1"/>
        <v>2815862</v>
      </c>
      <c r="K43" s="168">
        <v>0</v>
      </c>
      <c r="L43" s="137">
        <f t="shared" si="2"/>
        <v>2822590</v>
      </c>
      <c r="M43" s="134">
        <v>2776103</v>
      </c>
      <c r="N43" s="134">
        <v>206487</v>
      </c>
      <c r="V43" s="134">
        <v>140000</v>
      </c>
      <c r="W43" s="134">
        <v>-300000</v>
      </c>
    </row>
    <row r="44" spans="1:110" s="161" customFormat="1" x14ac:dyDescent="0.3">
      <c r="A44" s="175" t="s">
        <v>228</v>
      </c>
      <c r="B44" s="173" t="s">
        <v>379</v>
      </c>
      <c r="C44" s="173">
        <v>290872306</v>
      </c>
      <c r="D44" s="172" t="s">
        <v>378</v>
      </c>
      <c r="E44" s="171">
        <f>2891933-300000</f>
        <v>2591933</v>
      </c>
      <c r="F44" s="168">
        <v>300000</v>
      </c>
      <c r="G44" s="170">
        <v>0</v>
      </c>
      <c r="H44" s="170"/>
      <c r="I44" s="170"/>
      <c r="J44" s="169">
        <f t="shared" si="1"/>
        <v>2891933</v>
      </c>
      <c r="K44" s="168">
        <v>0</v>
      </c>
      <c r="L44" s="167">
        <f t="shared" ref="L44:AQ44" si="3">SUM(L9:L43)</f>
        <v>143151907</v>
      </c>
      <c r="M44" s="164">
        <f t="shared" si="3"/>
        <v>132750239</v>
      </c>
      <c r="N44" s="164">
        <f t="shared" si="3"/>
        <v>9851668</v>
      </c>
      <c r="O44" s="164">
        <f t="shared" si="3"/>
        <v>0</v>
      </c>
      <c r="P44" s="164">
        <f t="shared" si="3"/>
        <v>0</v>
      </c>
      <c r="Q44" s="164">
        <f t="shared" si="3"/>
        <v>0</v>
      </c>
      <c r="R44" s="164">
        <f t="shared" si="3"/>
        <v>950000</v>
      </c>
      <c r="S44" s="164">
        <f t="shared" si="3"/>
        <v>0</v>
      </c>
      <c r="T44" s="164">
        <f t="shared" si="3"/>
        <v>2300000</v>
      </c>
      <c r="U44" s="164">
        <f t="shared" si="3"/>
        <v>0</v>
      </c>
      <c r="V44" s="164">
        <f t="shared" si="3"/>
        <v>700000</v>
      </c>
      <c r="W44" s="164">
        <f t="shared" si="3"/>
        <v>2100000</v>
      </c>
      <c r="X44" s="166">
        <f t="shared" si="3"/>
        <v>-3500000</v>
      </c>
      <c r="Y44" s="165">
        <f t="shared" si="3"/>
        <v>0</v>
      </c>
      <c r="Z44" s="165">
        <f t="shared" si="3"/>
        <v>-2000000</v>
      </c>
      <c r="AA44" s="164">
        <f t="shared" si="3"/>
        <v>0</v>
      </c>
      <c r="AB44" s="164">
        <f t="shared" si="3"/>
        <v>0</v>
      </c>
      <c r="AC44" s="164">
        <f t="shared" si="3"/>
        <v>0</v>
      </c>
      <c r="AD44" s="164">
        <f t="shared" si="3"/>
        <v>0</v>
      </c>
      <c r="AE44" s="164">
        <f t="shared" si="3"/>
        <v>0</v>
      </c>
      <c r="AF44" s="164">
        <f t="shared" si="3"/>
        <v>0</v>
      </c>
      <c r="AG44" s="164">
        <f t="shared" si="3"/>
        <v>0</v>
      </c>
      <c r="AH44" s="164">
        <f t="shared" si="3"/>
        <v>0</v>
      </c>
      <c r="AI44" s="164">
        <f t="shared" si="3"/>
        <v>0</v>
      </c>
      <c r="AJ44" s="164">
        <f t="shared" si="3"/>
        <v>0</v>
      </c>
      <c r="AK44" s="163">
        <f t="shared" si="3"/>
        <v>0</v>
      </c>
      <c r="AL44" s="163">
        <f t="shared" si="3"/>
        <v>0</v>
      </c>
      <c r="AM44" s="163">
        <f t="shared" si="3"/>
        <v>0</v>
      </c>
      <c r="AN44" s="163">
        <f t="shared" si="3"/>
        <v>0</v>
      </c>
      <c r="AO44" s="163">
        <f t="shared" si="3"/>
        <v>0</v>
      </c>
      <c r="AP44" s="163">
        <f t="shared" si="3"/>
        <v>0</v>
      </c>
      <c r="AQ44" s="163">
        <f t="shared" si="3"/>
        <v>0</v>
      </c>
      <c r="AR44" s="163">
        <f t="shared" ref="AR44:BW44" si="4">SUM(AR9:AR43)</f>
        <v>0</v>
      </c>
      <c r="AS44" s="163">
        <f t="shared" si="4"/>
        <v>0</v>
      </c>
      <c r="AT44" s="163">
        <f t="shared" si="4"/>
        <v>0</v>
      </c>
      <c r="AU44" s="163">
        <f t="shared" si="4"/>
        <v>0</v>
      </c>
      <c r="AV44" s="163">
        <f t="shared" si="4"/>
        <v>0</v>
      </c>
      <c r="AW44" s="163">
        <f t="shared" si="4"/>
        <v>0</v>
      </c>
      <c r="AX44" s="163">
        <f t="shared" si="4"/>
        <v>0</v>
      </c>
      <c r="AY44" s="163">
        <f t="shared" si="4"/>
        <v>0</v>
      </c>
      <c r="AZ44" s="163">
        <f t="shared" si="4"/>
        <v>0</v>
      </c>
      <c r="BA44" s="163">
        <f t="shared" si="4"/>
        <v>0</v>
      </c>
      <c r="BB44" s="163">
        <f t="shared" si="4"/>
        <v>0</v>
      </c>
      <c r="BC44" s="163">
        <f t="shared" si="4"/>
        <v>0</v>
      </c>
      <c r="BD44" s="163">
        <f t="shared" si="4"/>
        <v>0</v>
      </c>
      <c r="BE44" s="163">
        <f t="shared" si="4"/>
        <v>0</v>
      </c>
      <c r="BF44" s="163">
        <f t="shared" si="4"/>
        <v>0</v>
      </c>
      <c r="BG44" s="163">
        <f t="shared" si="4"/>
        <v>0</v>
      </c>
      <c r="BH44" s="163">
        <f t="shared" si="4"/>
        <v>0</v>
      </c>
      <c r="BI44" s="163">
        <f t="shared" si="4"/>
        <v>0</v>
      </c>
      <c r="BJ44" s="163">
        <f t="shared" si="4"/>
        <v>0</v>
      </c>
      <c r="BK44" s="163">
        <f t="shared" si="4"/>
        <v>0</v>
      </c>
      <c r="BL44" s="163">
        <f t="shared" si="4"/>
        <v>0</v>
      </c>
      <c r="BM44" s="163">
        <f t="shared" si="4"/>
        <v>0</v>
      </c>
      <c r="BN44" s="163">
        <f t="shared" si="4"/>
        <v>0</v>
      </c>
      <c r="BO44" s="163">
        <f t="shared" si="4"/>
        <v>0</v>
      </c>
      <c r="BP44" s="163">
        <f t="shared" si="4"/>
        <v>0</v>
      </c>
      <c r="BQ44" s="163">
        <f t="shared" si="4"/>
        <v>0</v>
      </c>
      <c r="BR44" s="163">
        <f t="shared" si="4"/>
        <v>0</v>
      </c>
      <c r="BS44" s="163">
        <f t="shared" si="4"/>
        <v>0</v>
      </c>
      <c r="BT44" s="163">
        <f t="shared" si="4"/>
        <v>0</v>
      </c>
      <c r="BU44" s="163">
        <f t="shared" si="4"/>
        <v>0</v>
      </c>
      <c r="BV44" s="163">
        <f t="shared" si="4"/>
        <v>0</v>
      </c>
      <c r="BW44" s="163">
        <f t="shared" si="4"/>
        <v>0</v>
      </c>
      <c r="BX44" s="163">
        <f t="shared" ref="BX44:CK44" si="5">SUM(BX9:BX43)</f>
        <v>0</v>
      </c>
      <c r="BY44" s="163">
        <f t="shared" si="5"/>
        <v>0</v>
      </c>
      <c r="BZ44" s="163">
        <f t="shared" si="5"/>
        <v>0</v>
      </c>
      <c r="CA44" s="162">
        <f t="shared" si="5"/>
        <v>0</v>
      </c>
      <c r="CB44" s="162">
        <f t="shared" si="5"/>
        <v>0</v>
      </c>
      <c r="CC44" s="162">
        <f t="shared" si="5"/>
        <v>0</v>
      </c>
      <c r="CD44" s="162">
        <f t="shared" si="5"/>
        <v>0</v>
      </c>
      <c r="CE44" s="162">
        <f t="shared" si="5"/>
        <v>0</v>
      </c>
      <c r="CF44" s="162">
        <f t="shared" si="5"/>
        <v>0</v>
      </c>
      <c r="CG44" s="162">
        <f t="shared" si="5"/>
        <v>0</v>
      </c>
      <c r="CH44" s="162">
        <f t="shared" si="5"/>
        <v>0</v>
      </c>
      <c r="CI44" s="162">
        <f t="shared" si="5"/>
        <v>0</v>
      </c>
      <c r="CJ44" s="162">
        <f t="shared" si="5"/>
        <v>0</v>
      </c>
      <c r="CK44" s="162">
        <f t="shared" si="5"/>
        <v>0</v>
      </c>
      <c r="CL44" s="162"/>
      <c r="CM44" s="162"/>
      <c r="CN44" s="162"/>
      <c r="CO44" s="162"/>
      <c r="CP44" s="162"/>
      <c r="CQ44" s="162"/>
      <c r="CR44" s="162"/>
      <c r="CS44" s="162"/>
      <c r="CT44" s="162"/>
      <c r="CU44" s="162"/>
      <c r="CV44" s="162"/>
      <c r="CW44" s="162"/>
      <c r="CX44" s="162"/>
      <c r="CY44" s="162"/>
      <c r="CZ44" s="162"/>
      <c r="DA44" s="162"/>
      <c r="DB44" s="162"/>
      <c r="DC44" s="162"/>
      <c r="DD44" s="162"/>
      <c r="DE44" s="162"/>
      <c r="DF44" s="162"/>
    </row>
    <row r="45" spans="1:110" s="148" customFormat="1" x14ac:dyDescent="0.3">
      <c r="A45" s="298" t="s">
        <v>281</v>
      </c>
      <c r="B45" s="298"/>
      <c r="C45" s="218" t="s">
        <v>494</v>
      </c>
      <c r="D45" s="219" t="s">
        <v>495</v>
      </c>
      <c r="E45" s="160">
        <f>SUM(E9:E44)</f>
        <v>162789254.53000003</v>
      </c>
      <c r="F45" s="160">
        <f>SUM(F9:F44)</f>
        <v>16247540</v>
      </c>
      <c r="G45" s="160">
        <f>SUM(G9:G44)</f>
        <v>0</v>
      </c>
      <c r="H45" s="160">
        <f>SUM(H9:H44)</f>
        <v>1800000</v>
      </c>
      <c r="I45" s="160">
        <f>SUM(I9:I44)</f>
        <v>300000</v>
      </c>
      <c r="J45" s="160">
        <f>SUM(E45:I45)</f>
        <v>181136794.53000003</v>
      </c>
      <c r="K45" s="154"/>
      <c r="L45" s="154">
        <f>L44-Q45-S45-T45</f>
        <v>140851907</v>
      </c>
      <c r="M45" s="150">
        <f>M44-M48</f>
        <v>-60460959</v>
      </c>
      <c r="N45" s="150">
        <f>N44-N48</f>
        <v>-5136101</v>
      </c>
      <c r="O45" s="150">
        <f>O44-O48</f>
        <v>-156640672</v>
      </c>
      <c r="P45" s="150">
        <f>P44-P48</f>
        <v>0</v>
      </c>
      <c r="Q45" s="150">
        <f>Q44-Q48</f>
        <v>0</v>
      </c>
      <c r="R45" s="150"/>
      <c r="S45" s="150">
        <f t="shared" ref="S45:AX45" si="6">S44-S48</f>
        <v>0</v>
      </c>
      <c r="T45" s="150">
        <f t="shared" si="6"/>
        <v>2300000</v>
      </c>
      <c r="U45" s="150">
        <f t="shared" si="6"/>
        <v>0</v>
      </c>
      <c r="V45" s="150">
        <f t="shared" si="6"/>
        <v>700000</v>
      </c>
      <c r="W45" s="150">
        <f t="shared" si="6"/>
        <v>2100000</v>
      </c>
      <c r="X45" s="152">
        <f t="shared" si="6"/>
        <v>-3500000</v>
      </c>
      <c r="Y45" s="151">
        <f t="shared" si="6"/>
        <v>0</v>
      </c>
      <c r="Z45" s="151">
        <f t="shared" si="6"/>
        <v>-2000000</v>
      </c>
      <c r="AA45" s="150">
        <f t="shared" si="6"/>
        <v>0</v>
      </c>
      <c r="AB45" s="150">
        <f t="shared" si="6"/>
        <v>0</v>
      </c>
      <c r="AC45" s="150">
        <f t="shared" si="6"/>
        <v>0</v>
      </c>
      <c r="AD45" s="150">
        <f t="shared" si="6"/>
        <v>0</v>
      </c>
      <c r="AE45" s="150">
        <f t="shared" si="6"/>
        <v>0</v>
      </c>
      <c r="AF45" s="150">
        <f t="shared" si="6"/>
        <v>0</v>
      </c>
      <c r="AG45" s="150">
        <f t="shared" si="6"/>
        <v>0</v>
      </c>
      <c r="AH45" s="150">
        <f t="shared" si="6"/>
        <v>0</v>
      </c>
      <c r="AI45" s="150">
        <f t="shared" si="6"/>
        <v>0</v>
      </c>
      <c r="AJ45" s="150">
        <f t="shared" si="6"/>
        <v>0</v>
      </c>
      <c r="AK45" s="150">
        <f t="shared" si="6"/>
        <v>0</v>
      </c>
      <c r="AL45" s="150">
        <f t="shared" si="6"/>
        <v>0</v>
      </c>
      <c r="AM45" s="150">
        <f t="shared" si="6"/>
        <v>0</v>
      </c>
      <c r="AN45" s="150">
        <f t="shared" si="6"/>
        <v>0</v>
      </c>
      <c r="AO45" s="150">
        <f t="shared" si="6"/>
        <v>0</v>
      </c>
      <c r="AP45" s="150">
        <f t="shared" si="6"/>
        <v>0</v>
      </c>
      <c r="AQ45" s="150">
        <f t="shared" si="6"/>
        <v>0</v>
      </c>
      <c r="AR45" s="150">
        <f t="shared" si="6"/>
        <v>0</v>
      </c>
      <c r="AS45" s="150">
        <f t="shared" si="6"/>
        <v>0</v>
      </c>
      <c r="AT45" s="150">
        <f t="shared" si="6"/>
        <v>0</v>
      </c>
      <c r="AU45" s="150">
        <f t="shared" si="6"/>
        <v>0</v>
      </c>
      <c r="AV45" s="150">
        <f t="shared" si="6"/>
        <v>0</v>
      </c>
      <c r="AW45" s="150">
        <f t="shared" si="6"/>
        <v>0</v>
      </c>
      <c r="AX45" s="150">
        <f t="shared" si="6"/>
        <v>0</v>
      </c>
      <c r="AY45" s="150">
        <f t="shared" ref="AY45:CD45" si="7">AY44-AY48</f>
        <v>0</v>
      </c>
      <c r="AZ45" s="150">
        <f t="shared" si="7"/>
        <v>0</v>
      </c>
      <c r="BA45" s="150">
        <f t="shared" si="7"/>
        <v>0</v>
      </c>
      <c r="BB45" s="150">
        <f t="shared" si="7"/>
        <v>0</v>
      </c>
      <c r="BC45" s="150">
        <f t="shared" si="7"/>
        <v>0</v>
      </c>
      <c r="BD45" s="150">
        <f t="shared" si="7"/>
        <v>0</v>
      </c>
      <c r="BE45" s="150">
        <f t="shared" si="7"/>
        <v>0</v>
      </c>
      <c r="BF45" s="150">
        <f t="shared" si="7"/>
        <v>0</v>
      </c>
      <c r="BG45" s="150">
        <f t="shared" si="7"/>
        <v>0</v>
      </c>
      <c r="BH45" s="150">
        <f t="shared" si="7"/>
        <v>0</v>
      </c>
      <c r="BI45" s="150">
        <f t="shared" si="7"/>
        <v>0</v>
      </c>
      <c r="BJ45" s="150">
        <f t="shared" si="7"/>
        <v>0</v>
      </c>
      <c r="BK45" s="150">
        <f t="shared" si="7"/>
        <v>0</v>
      </c>
      <c r="BL45" s="150">
        <f t="shared" si="7"/>
        <v>0</v>
      </c>
      <c r="BM45" s="150">
        <f t="shared" si="7"/>
        <v>0</v>
      </c>
      <c r="BN45" s="150">
        <f t="shared" si="7"/>
        <v>0</v>
      </c>
      <c r="BO45" s="150">
        <f t="shared" si="7"/>
        <v>0</v>
      </c>
      <c r="BP45" s="150">
        <f t="shared" si="7"/>
        <v>0</v>
      </c>
      <c r="BQ45" s="150">
        <f t="shared" si="7"/>
        <v>0</v>
      </c>
      <c r="BR45" s="150">
        <f t="shared" si="7"/>
        <v>0</v>
      </c>
      <c r="BS45" s="150">
        <f t="shared" si="7"/>
        <v>0</v>
      </c>
      <c r="BT45" s="150">
        <f t="shared" si="7"/>
        <v>0</v>
      </c>
      <c r="BU45" s="150">
        <f t="shared" si="7"/>
        <v>0</v>
      </c>
      <c r="BV45" s="150">
        <f t="shared" si="7"/>
        <v>0</v>
      </c>
      <c r="BW45" s="150">
        <f t="shared" si="7"/>
        <v>0</v>
      </c>
      <c r="BX45" s="150">
        <f t="shared" si="7"/>
        <v>0</v>
      </c>
      <c r="BY45" s="150">
        <f t="shared" si="7"/>
        <v>0</v>
      </c>
      <c r="BZ45" s="150">
        <f t="shared" si="7"/>
        <v>0</v>
      </c>
      <c r="CA45" s="149">
        <f t="shared" si="7"/>
        <v>0</v>
      </c>
      <c r="CB45" s="149">
        <f t="shared" si="7"/>
        <v>0</v>
      </c>
      <c r="CC45" s="149">
        <f t="shared" si="7"/>
        <v>0</v>
      </c>
      <c r="CD45" s="149">
        <f t="shared" si="7"/>
        <v>0</v>
      </c>
      <c r="CE45" s="149">
        <f t="shared" ref="CE45:CK45" si="8">CE44-CE48</f>
        <v>0</v>
      </c>
      <c r="CF45" s="149">
        <f t="shared" si="8"/>
        <v>0</v>
      </c>
      <c r="CG45" s="149">
        <f t="shared" si="8"/>
        <v>0</v>
      </c>
      <c r="CH45" s="149">
        <f t="shared" si="8"/>
        <v>0</v>
      </c>
      <c r="CI45" s="149">
        <f t="shared" si="8"/>
        <v>0</v>
      </c>
      <c r="CJ45" s="149">
        <f t="shared" si="8"/>
        <v>0</v>
      </c>
      <c r="CK45" s="149">
        <f t="shared" si="8"/>
        <v>0</v>
      </c>
      <c r="CL45" s="149"/>
      <c r="CM45" s="149"/>
      <c r="CN45" s="149"/>
      <c r="CO45" s="149"/>
      <c r="CP45" s="149"/>
      <c r="CQ45" s="149"/>
      <c r="CR45" s="149"/>
      <c r="CS45" s="149"/>
      <c r="CT45" s="149"/>
      <c r="CU45" s="149"/>
      <c r="CV45" s="149"/>
      <c r="CW45" s="149"/>
      <c r="CX45" s="149"/>
      <c r="CY45" s="149"/>
      <c r="CZ45" s="149"/>
      <c r="DA45" s="149"/>
      <c r="DB45" s="149"/>
      <c r="DC45" s="149"/>
      <c r="DD45" s="149"/>
      <c r="DE45" s="149"/>
      <c r="DF45" s="149"/>
    </row>
    <row r="46" spans="1:110" s="148" customFormat="1" ht="23.25" customHeight="1" x14ac:dyDescent="0.3">
      <c r="A46" s="299" t="s">
        <v>506</v>
      </c>
      <c r="B46" s="299"/>
      <c r="C46" s="299"/>
      <c r="D46" s="299"/>
      <c r="E46" s="299"/>
      <c r="F46" s="299"/>
      <c r="G46" s="299"/>
      <c r="H46" s="299"/>
      <c r="I46" s="299"/>
      <c r="J46" s="299"/>
      <c r="K46" s="154"/>
      <c r="L46" s="154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2"/>
      <c r="Y46" s="151"/>
      <c r="Z46" s="151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  <c r="BI46" s="150"/>
      <c r="BJ46" s="150"/>
      <c r="BK46" s="150"/>
      <c r="BL46" s="150"/>
      <c r="BM46" s="150"/>
      <c r="BN46" s="150"/>
      <c r="BO46" s="150"/>
      <c r="BP46" s="150"/>
      <c r="BQ46" s="150"/>
      <c r="BR46" s="150"/>
      <c r="BS46" s="150"/>
      <c r="BT46" s="150"/>
      <c r="BU46" s="150"/>
      <c r="BV46" s="150"/>
      <c r="BW46" s="150"/>
      <c r="BX46" s="150"/>
      <c r="BY46" s="150"/>
      <c r="BZ46" s="150"/>
      <c r="CA46" s="149"/>
      <c r="CB46" s="149"/>
      <c r="CC46" s="149"/>
      <c r="CD46" s="149"/>
      <c r="CE46" s="149"/>
      <c r="CF46" s="149"/>
      <c r="CG46" s="149"/>
      <c r="CH46" s="149"/>
      <c r="CI46" s="149"/>
      <c r="CJ46" s="149"/>
      <c r="CK46" s="149"/>
      <c r="CL46" s="149"/>
      <c r="CM46" s="149"/>
      <c r="CN46" s="149"/>
      <c r="CO46" s="149"/>
      <c r="CP46" s="149"/>
      <c r="CQ46" s="149"/>
      <c r="CR46" s="149"/>
      <c r="CS46" s="149"/>
      <c r="CT46" s="149"/>
      <c r="CU46" s="149"/>
      <c r="CV46" s="149"/>
      <c r="CW46" s="149"/>
      <c r="CX46" s="149"/>
      <c r="CY46" s="149"/>
      <c r="CZ46" s="149"/>
      <c r="DA46" s="149"/>
      <c r="DB46" s="149"/>
      <c r="DC46" s="149"/>
      <c r="DD46" s="149"/>
      <c r="DE46" s="149"/>
      <c r="DF46" s="149"/>
    </row>
    <row r="47" spans="1:110" s="148" customFormat="1" x14ac:dyDescent="0.3">
      <c r="A47" s="159"/>
      <c r="B47" s="159"/>
      <c r="C47" s="158"/>
      <c r="D47" s="157"/>
      <c r="E47" s="156"/>
      <c r="F47" s="156"/>
      <c r="G47" s="156"/>
      <c r="H47" s="156"/>
      <c r="I47" s="156"/>
      <c r="J47" s="156"/>
      <c r="K47" s="154"/>
      <c r="L47" s="154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2"/>
      <c r="Y47" s="151"/>
      <c r="Z47" s="151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  <c r="BI47" s="150"/>
      <c r="BJ47" s="150"/>
      <c r="BK47" s="150"/>
      <c r="BL47" s="150"/>
      <c r="BM47" s="150"/>
      <c r="BN47" s="150"/>
      <c r="BO47" s="150"/>
      <c r="BP47" s="150"/>
      <c r="BQ47" s="150"/>
      <c r="BR47" s="150"/>
      <c r="BS47" s="150"/>
      <c r="BT47" s="150"/>
      <c r="BU47" s="150"/>
      <c r="BV47" s="150"/>
      <c r="BW47" s="150"/>
      <c r="BX47" s="150"/>
      <c r="BY47" s="150"/>
      <c r="BZ47" s="150"/>
      <c r="CA47" s="149"/>
      <c r="CB47" s="149"/>
      <c r="CC47" s="149"/>
      <c r="CD47" s="149"/>
      <c r="CE47" s="149"/>
      <c r="CF47" s="149"/>
      <c r="CG47" s="149"/>
      <c r="CH47" s="149"/>
      <c r="CI47" s="149"/>
      <c r="CJ47" s="149"/>
      <c r="CK47" s="149"/>
      <c r="CL47" s="149"/>
      <c r="CM47" s="149"/>
      <c r="CN47" s="149"/>
      <c r="CO47" s="149"/>
      <c r="CP47" s="149"/>
      <c r="CQ47" s="149"/>
      <c r="CR47" s="149"/>
      <c r="CS47" s="149"/>
      <c r="CT47" s="149"/>
      <c r="CU47" s="149"/>
      <c r="CV47" s="149"/>
      <c r="CW47" s="149"/>
      <c r="CX47" s="149"/>
      <c r="CY47" s="149"/>
      <c r="CZ47" s="149"/>
      <c r="DA47" s="149"/>
      <c r="DB47" s="149"/>
      <c r="DC47" s="149"/>
      <c r="DD47" s="149"/>
      <c r="DE47" s="149"/>
      <c r="DF47" s="149"/>
    </row>
    <row r="48" spans="1:110" x14ac:dyDescent="0.3">
      <c r="A48" s="144"/>
      <c r="B48" s="155"/>
      <c r="F48" s="300" t="str">
        <f>donvi!B1</f>
        <v>Tây Ninh, ngày 01 tháng 7 năm 2019</v>
      </c>
      <c r="G48" s="300"/>
      <c r="H48" s="300"/>
      <c r="I48" s="300"/>
      <c r="J48" s="300"/>
      <c r="K48" s="137"/>
      <c r="L48" s="154">
        <f t="shared" ref="L48:Q48" si="9">SUM(L49:L65536)</f>
        <v>347248754</v>
      </c>
      <c r="M48" s="150">
        <f t="shared" si="9"/>
        <v>193211198</v>
      </c>
      <c r="N48" s="150">
        <f t="shared" si="9"/>
        <v>14987769</v>
      </c>
      <c r="O48" s="150">
        <f t="shared" si="9"/>
        <v>156640672</v>
      </c>
      <c r="P48" s="150">
        <f t="shared" si="9"/>
        <v>0</v>
      </c>
      <c r="Q48" s="150">
        <f t="shared" si="9"/>
        <v>0</v>
      </c>
      <c r="R48" s="150"/>
      <c r="S48" s="150">
        <f t="shared" ref="S48:Y48" si="10">SUM(S49:S65536)</f>
        <v>0</v>
      </c>
      <c r="T48" s="150">
        <f t="shared" si="10"/>
        <v>0</v>
      </c>
      <c r="U48" s="150">
        <f t="shared" si="10"/>
        <v>0</v>
      </c>
      <c r="V48" s="150">
        <f t="shared" si="10"/>
        <v>0</v>
      </c>
      <c r="W48" s="150">
        <f t="shared" si="10"/>
        <v>0</v>
      </c>
      <c r="X48" s="152">
        <f t="shared" si="10"/>
        <v>0</v>
      </c>
      <c r="Y48" s="151">
        <f t="shared" si="10"/>
        <v>0</v>
      </c>
      <c r="Z48" s="150"/>
      <c r="AA48" s="150">
        <f t="shared" ref="AA48:BF48" si="11">SUM(AA49:AA65536)</f>
        <v>0</v>
      </c>
      <c r="AB48" s="150">
        <f t="shared" si="11"/>
        <v>0</v>
      </c>
      <c r="AC48" s="150">
        <f t="shared" si="11"/>
        <v>0</v>
      </c>
      <c r="AD48" s="150">
        <f t="shared" si="11"/>
        <v>0</v>
      </c>
      <c r="AE48" s="150">
        <f t="shared" si="11"/>
        <v>0</v>
      </c>
      <c r="AF48" s="150">
        <f t="shared" si="11"/>
        <v>0</v>
      </c>
      <c r="AG48" s="150">
        <f t="shared" si="11"/>
        <v>0</v>
      </c>
      <c r="AH48" s="150">
        <f t="shared" si="11"/>
        <v>0</v>
      </c>
      <c r="AI48" s="150">
        <f t="shared" si="11"/>
        <v>0</v>
      </c>
      <c r="AJ48" s="150">
        <f t="shared" si="11"/>
        <v>0</v>
      </c>
      <c r="AK48" s="134">
        <f t="shared" si="11"/>
        <v>0</v>
      </c>
      <c r="AL48" s="134">
        <f t="shared" si="11"/>
        <v>0</v>
      </c>
      <c r="AM48" s="134">
        <f t="shared" si="11"/>
        <v>0</v>
      </c>
      <c r="AN48" s="134">
        <f t="shared" si="11"/>
        <v>0</v>
      </c>
      <c r="AO48" s="134">
        <f t="shared" si="11"/>
        <v>0</v>
      </c>
      <c r="AP48" s="134">
        <f t="shared" si="11"/>
        <v>0</v>
      </c>
      <c r="AQ48" s="134">
        <f t="shared" si="11"/>
        <v>0</v>
      </c>
      <c r="AR48" s="134">
        <f t="shared" si="11"/>
        <v>0</v>
      </c>
      <c r="AS48" s="134">
        <f t="shared" si="11"/>
        <v>0</v>
      </c>
      <c r="AT48" s="134">
        <f t="shared" si="11"/>
        <v>0</v>
      </c>
      <c r="AU48" s="134">
        <f t="shared" si="11"/>
        <v>0</v>
      </c>
      <c r="AV48" s="134">
        <f t="shared" si="11"/>
        <v>0</v>
      </c>
      <c r="AW48" s="134">
        <f t="shared" si="11"/>
        <v>0</v>
      </c>
      <c r="AX48" s="134">
        <f t="shared" si="11"/>
        <v>0</v>
      </c>
      <c r="AY48" s="134">
        <f t="shared" si="11"/>
        <v>0</v>
      </c>
      <c r="AZ48" s="134">
        <f t="shared" si="11"/>
        <v>0</v>
      </c>
      <c r="BA48" s="134">
        <f t="shared" si="11"/>
        <v>0</v>
      </c>
      <c r="BB48" s="134">
        <f t="shared" si="11"/>
        <v>0</v>
      </c>
      <c r="BC48" s="134">
        <f t="shared" si="11"/>
        <v>0</v>
      </c>
      <c r="BD48" s="134">
        <f t="shared" si="11"/>
        <v>0</v>
      </c>
      <c r="BE48" s="134">
        <f t="shared" si="11"/>
        <v>0</v>
      </c>
      <c r="BF48" s="134">
        <f t="shared" si="11"/>
        <v>0</v>
      </c>
      <c r="BG48" s="134">
        <f t="shared" ref="BG48:CK48" si="12">SUM(BG49:BG65536)</f>
        <v>0</v>
      </c>
      <c r="BH48" s="134">
        <f t="shared" si="12"/>
        <v>0</v>
      </c>
      <c r="BI48" s="134">
        <f t="shared" si="12"/>
        <v>0</v>
      </c>
      <c r="BJ48" s="134">
        <f t="shared" si="12"/>
        <v>0</v>
      </c>
      <c r="BK48" s="134">
        <f t="shared" si="12"/>
        <v>0</v>
      </c>
      <c r="BL48" s="134">
        <f t="shared" si="12"/>
        <v>0</v>
      </c>
      <c r="BM48" s="134">
        <f t="shared" si="12"/>
        <v>0</v>
      </c>
      <c r="BN48" s="134">
        <f t="shared" si="12"/>
        <v>0</v>
      </c>
      <c r="BO48" s="134">
        <f t="shared" si="12"/>
        <v>0</v>
      </c>
      <c r="BP48" s="134">
        <f t="shared" si="12"/>
        <v>0</v>
      </c>
      <c r="BQ48" s="134">
        <f t="shared" si="12"/>
        <v>0</v>
      </c>
      <c r="BR48" s="134">
        <f t="shared" si="12"/>
        <v>0</v>
      </c>
      <c r="BS48" s="134">
        <f t="shared" si="12"/>
        <v>0</v>
      </c>
      <c r="BT48" s="134">
        <f t="shared" si="12"/>
        <v>0</v>
      </c>
      <c r="BU48" s="134">
        <f t="shared" si="12"/>
        <v>0</v>
      </c>
      <c r="BV48" s="134">
        <f t="shared" si="12"/>
        <v>0</v>
      </c>
      <c r="BW48" s="134">
        <f t="shared" si="12"/>
        <v>0</v>
      </c>
      <c r="BX48" s="134">
        <f t="shared" si="12"/>
        <v>0</v>
      </c>
      <c r="BY48" s="134">
        <f t="shared" si="12"/>
        <v>0</v>
      </c>
      <c r="BZ48" s="134">
        <f t="shared" si="12"/>
        <v>0</v>
      </c>
      <c r="CA48" s="133">
        <f t="shared" si="12"/>
        <v>0</v>
      </c>
      <c r="CB48" s="133">
        <f t="shared" si="12"/>
        <v>0</v>
      </c>
      <c r="CC48" s="133">
        <f t="shared" si="12"/>
        <v>0</v>
      </c>
      <c r="CD48" s="133">
        <f t="shared" si="12"/>
        <v>0</v>
      </c>
      <c r="CE48" s="133">
        <f t="shared" si="12"/>
        <v>0</v>
      </c>
      <c r="CF48" s="133">
        <f t="shared" si="12"/>
        <v>0</v>
      </c>
      <c r="CG48" s="133">
        <f t="shared" si="12"/>
        <v>0</v>
      </c>
      <c r="CH48" s="133">
        <f t="shared" si="12"/>
        <v>0</v>
      </c>
      <c r="CI48" s="133">
        <f t="shared" si="12"/>
        <v>0</v>
      </c>
      <c r="CJ48" s="133">
        <f t="shared" si="12"/>
        <v>0</v>
      </c>
      <c r="CK48" s="133">
        <f t="shared" si="12"/>
        <v>0</v>
      </c>
    </row>
    <row r="49" spans="1:110" s="148" customFormat="1" x14ac:dyDescent="0.3">
      <c r="A49" s="289" t="s">
        <v>377</v>
      </c>
      <c r="B49" s="289"/>
      <c r="D49" s="292" t="s">
        <v>376</v>
      </c>
      <c r="E49" s="292"/>
      <c r="F49" s="289" t="s">
        <v>296</v>
      </c>
      <c r="G49" s="289"/>
      <c r="H49" s="289"/>
      <c r="I49" s="289"/>
      <c r="J49" s="289"/>
      <c r="K49" s="154"/>
      <c r="L49" s="153">
        <v>137481319</v>
      </c>
      <c r="M49" s="150">
        <v>49000063</v>
      </c>
      <c r="N49" s="150">
        <f>15287769-300000</f>
        <v>14987769</v>
      </c>
      <c r="O49" s="150">
        <v>42564950</v>
      </c>
      <c r="P49" s="150"/>
      <c r="Q49" s="150"/>
      <c r="R49" s="150"/>
      <c r="S49" s="150"/>
      <c r="T49" s="150"/>
      <c r="U49" s="150"/>
      <c r="V49" s="150"/>
      <c r="W49" s="150"/>
      <c r="X49" s="152"/>
      <c r="Y49" s="151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0"/>
      <c r="BN49" s="150"/>
      <c r="BO49" s="150"/>
      <c r="BP49" s="150"/>
      <c r="BQ49" s="150"/>
      <c r="BR49" s="150"/>
      <c r="BS49" s="150"/>
      <c r="BT49" s="150"/>
      <c r="BU49" s="150"/>
      <c r="BV49" s="150"/>
      <c r="BW49" s="150"/>
      <c r="BX49" s="150"/>
      <c r="BY49" s="150"/>
      <c r="BZ49" s="150"/>
      <c r="CA49" s="149"/>
      <c r="CB49" s="149"/>
      <c r="CC49" s="149"/>
      <c r="CD49" s="149"/>
      <c r="CE49" s="149"/>
      <c r="CF49" s="149"/>
      <c r="CG49" s="149"/>
      <c r="CH49" s="149"/>
      <c r="CI49" s="149"/>
      <c r="CJ49" s="149"/>
      <c r="CK49" s="149"/>
      <c r="CL49" s="149"/>
      <c r="CM49" s="149"/>
      <c r="CN49" s="149"/>
      <c r="CO49" s="149"/>
      <c r="CP49" s="149"/>
      <c r="CQ49" s="149"/>
      <c r="CR49" s="149"/>
      <c r="CS49" s="149"/>
      <c r="CT49" s="149"/>
      <c r="CU49" s="149"/>
      <c r="CV49" s="149"/>
      <c r="CW49" s="149"/>
      <c r="CX49" s="149"/>
      <c r="CY49" s="149"/>
      <c r="CZ49" s="149"/>
      <c r="DA49" s="149"/>
      <c r="DB49" s="149"/>
      <c r="DC49" s="149"/>
      <c r="DD49" s="149"/>
      <c r="DE49" s="149"/>
      <c r="DF49" s="149"/>
    </row>
    <row r="50" spans="1:110" x14ac:dyDescent="0.3">
      <c r="G50" s="141"/>
      <c r="H50" s="141"/>
      <c r="I50" s="141"/>
      <c r="J50" s="147"/>
      <c r="L50" s="142">
        <v>49600063</v>
      </c>
      <c r="M50" s="134">
        <v>144211135</v>
      </c>
      <c r="O50" s="134">
        <v>114075722</v>
      </c>
    </row>
    <row r="51" spans="1:110" x14ac:dyDescent="0.3">
      <c r="G51" s="141"/>
      <c r="H51" s="141"/>
      <c r="I51" s="141"/>
      <c r="J51" s="143"/>
      <c r="L51" s="142">
        <v>42564950</v>
      </c>
    </row>
    <row r="52" spans="1:110" x14ac:dyDescent="0.3">
      <c r="G52" s="141"/>
      <c r="H52" s="141"/>
      <c r="I52" s="141"/>
      <c r="J52" s="143"/>
      <c r="L52" s="146">
        <v>110002422</v>
      </c>
      <c r="M52" s="146"/>
      <c r="N52" s="145"/>
      <c r="O52" s="145"/>
      <c r="Z52" s="134">
        <f>SUM(Y17:Y43)</f>
        <v>0</v>
      </c>
    </row>
    <row r="53" spans="1:110" x14ac:dyDescent="0.3">
      <c r="A53" s="291" t="s">
        <v>283</v>
      </c>
      <c r="B53" s="291"/>
      <c r="J53" s="143"/>
      <c r="L53" s="142">
        <v>7600000</v>
      </c>
      <c r="Z53" s="134">
        <f>X44+Z44</f>
        <v>-5500000</v>
      </c>
    </row>
    <row r="54" spans="1:110" s="134" customFormat="1" x14ac:dyDescent="0.3">
      <c r="A54" s="132"/>
      <c r="B54" s="132"/>
      <c r="C54" s="132"/>
      <c r="D54" s="140"/>
      <c r="E54" s="139"/>
      <c r="F54" s="139"/>
      <c r="G54" s="141"/>
      <c r="H54" s="141"/>
      <c r="I54" s="141"/>
      <c r="J54" s="132"/>
      <c r="K54" s="138"/>
      <c r="L54" s="142"/>
      <c r="X54" s="136"/>
      <c r="Y54" s="135"/>
      <c r="CA54" s="133"/>
      <c r="CB54" s="133"/>
      <c r="CC54" s="133"/>
      <c r="CD54" s="133"/>
      <c r="CE54" s="133"/>
      <c r="CF54" s="133"/>
      <c r="CG54" s="133"/>
      <c r="CH54" s="133"/>
      <c r="CI54" s="133"/>
      <c r="CJ54" s="133"/>
      <c r="CK54" s="133"/>
      <c r="CL54" s="133"/>
      <c r="CM54" s="133"/>
      <c r="CN54" s="133"/>
      <c r="CO54" s="133"/>
      <c r="CP54" s="133"/>
      <c r="CQ54" s="133"/>
      <c r="CR54" s="133"/>
      <c r="CS54" s="133"/>
      <c r="CT54" s="133"/>
      <c r="CU54" s="133"/>
      <c r="CV54" s="133"/>
      <c r="CW54" s="133"/>
      <c r="CX54" s="133"/>
      <c r="CY54" s="133"/>
      <c r="CZ54" s="133"/>
      <c r="DA54" s="133"/>
      <c r="DB54" s="133"/>
      <c r="DC54" s="133"/>
      <c r="DD54" s="133"/>
      <c r="DE54" s="133"/>
      <c r="DF54" s="133"/>
    </row>
    <row r="55" spans="1:110" s="134" customFormat="1" x14ac:dyDescent="0.3">
      <c r="A55" s="132"/>
      <c r="B55" s="132"/>
      <c r="C55" s="132"/>
      <c r="D55" s="140"/>
      <c r="E55" s="139"/>
      <c r="F55" s="139"/>
      <c r="G55" s="141"/>
      <c r="H55" s="141"/>
      <c r="I55" s="141"/>
      <c r="J55" s="132"/>
      <c r="K55" s="138"/>
      <c r="L55" s="142"/>
      <c r="X55" s="136"/>
      <c r="Y55" s="135"/>
      <c r="CA55" s="133"/>
      <c r="CB55" s="133"/>
      <c r="CC55" s="133"/>
      <c r="CD55" s="133"/>
      <c r="CE55" s="133"/>
      <c r="CF55" s="133"/>
      <c r="CG55" s="133"/>
      <c r="CH55" s="133"/>
      <c r="CI55" s="133"/>
      <c r="CJ55" s="133"/>
      <c r="CK55" s="133"/>
      <c r="CL55" s="133"/>
      <c r="CM55" s="133"/>
      <c r="CN55" s="133"/>
      <c r="CO55" s="133"/>
      <c r="CP55" s="133"/>
      <c r="CQ55" s="133"/>
      <c r="CR55" s="133"/>
      <c r="CS55" s="133"/>
      <c r="CT55" s="133"/>
      <c r="CU55" s="133"/>
      <c r="CV55" s="133"/>
      <c r="CW55" s="133"/>
      <c r="CX55" s="133"/>
      <c r="CY55" s="133"/>
      <c r="CZ55" s="133"/>
      <c r="DA55" s="133"/>
      <c r="DB55" s="133"/>
      <c r="DC55" s="133"/>
      <c r="DD55" s="133"/>
      <c r="DE55" s="133"/>
      <c r="DF55" s="133"/>
    </row>
    <row r="56" spans="1:110" s="134" customFormat="1" x14ac:dyDescent="0.3">
      <c r="A56" s="132"/>
      <c r="B56" s="132"/>
      <c r="C56" s="289" t="s">
        <v>497</v>
      </c>
      <c r="D56" s="289"/>
      <c r="E56" s="289"/>
      <c r="F56" s="289"/>
      <c r="G56" s="132"/>
      <c r="H56" s="132"/>
      <c r="I56" s="132"/>
      <c r="J56" s="141"/>
      <c r="K56" s="138"/>
      <c r="L56" s="137"/>
      <c r="X56" s="136"/>
      <c r="Y56" s="135"/>
      <c r="CA56" s="133"/>
      <c r="CB56" s="133"/>
      <c r="CC56" s="133"/>
      <c r="CD56" s="133"/>
      <c r="CE56" s="133"/>
      <c r="CF56" s="133"/>
      <c r="CG56" s="133"/>
      <c r="CH56" s="133"/>
      <c r="CI56" s="133"/>
      <c r="CJ56" s="133"/>
      <c r="CK56" s="133"/>
      <c r="CL56" s="133"/>
      <c r="CM56" s="133"/>
      <c r="CN56" s="133"/>
      <c r="CO56" s="133"/>
      <c r="CP56" s="133"/>
      <c r="CQ56" s="133"/>
      <c r="CR56" s="133"/>
      <c r="CS56" s="133"/>
      <c r="CT56" s="133"/>
      <c r="CU56" s="133"/>
      <c r="CV56" s="133"/>
      <c r="CW56" s="133"/>
      <c r="CX56" s="133"/>
      <c r="CY56" s="133"/>
      <c r="CZ56" s="133"/>
      <c r="DA56" s="133"/>
      <c r="DB56" s="133"/>
      <c r="DC56" s="133"/>
      <c r="DD56" s="133"/>
      <c r="DE56" s="133"/>
      <c r="DF56" s="133"/>
    </row>
    <row r="57" spans="1:110" s="209" customFormat="1" x14ac:dyDescent="0.3">
      <c r="B57" s="209" t="s">
        <v>498</v>
      </c>
      <c r="D57" s="292" t="s">
        <v>499</v>
      </c>
      <c r="E57" s="292"/>
      <c r="F57" s="226"/>
      <c r="H57" s="289" t="s">
        <v>500</v>
      </c>
      <c r="I57" s="289"/>
      <c r="J57" s="289"/>
      <c r="K57" s="227"/>
      <c r="L57" s="228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30"/>
      <c r="Y57" s="231"/>
      <c r="Z57" s="229"/>
      <c r="AA57" s="229"/>
      <c r="AB57" s="229"/>
      <c r="AC57" s="229"/>
      <c r="AD57" s="229"/>
      <c r="AE57" s="229"/>
      <c r="AF57" s="229"/>
      <c r="AG57" s="229"/>
      <c r="AH57" s="229"/>
      <c r="AI57" s="229"/>
      <c r="AJ57" s="229"/>
      <c r="AK57" s="229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V57" s="229"/>
      <c r="AW57" s="229"/>
      <c r="AX57" s="229"/>
      <c r="AY57" s="229"/>
      <c r="AZ57" s="229"/>
      <c r="BA57" s="229"/>
      <c r="BB57" s="229"/>
      <c r="BC57" s="229"/>
      <c r="BD57" s="229"/>
      <c r="BE57" s="229"/>
      <c r="BF57" s="229"/>
      <c r="BG57" s="229"/>
      <c r="BH57" s="229"/>
      <c r="BI57" s="229"/>
      <c r="BJ57" s="229"/>
      <c r="BK57" s="229"/>
      <c r="BL57" s="229"/>
      <c r="BM57" s="229"/>
      <c r="BN57" s="229"/>
      <c r="BO57" s="229"/>
      <c r="BP57" s="229"/>
      <c r="BQ57" s="229"/>
      <c r="BR57" s="229"/>
      <c r="BS57" s="229"/>
      <c r="BT57" s="229"/>
      <c r="BU57" s="229"/>
      <c r="BV57" s="229"/>
      <c r="BW57" s="229"/>
      <c r="BX57" s="229"/>
      <c r="BY57" s="229"/>
      <c r="BZ57" s="229"/>
      <c r="CA57" s="232"/>
      <c r="CB57" s="232"/>
      <c r="CC57" s="232"/>
      <c r="CD57" s="232"/>
      <c r="CE57" s="232"/>
      <c r="CF57" s="232"/>
      <c r="CG57" s="232"/>
      <c r="CH57" s="232"/>
      <c r="CI57" s="232"/>
      <c r="CJ57" s="232"/>
      <c r="CK57" s="232"/>
      <c r="CL57" s="232"/>
      <c r="CM57" s="232"/>
      <c r="CN57" s="232"/>
      <c r="CO57" s="232"/>
      <c r="CP57" s="232"/>
      <c r="CQ57" s="232"/>
      <c r="CR57" s="232"/>
      <c r="CS57" s="232"/>
      <c r="CT57" s="232"/>
      <c r="CU57" s="232"/>
      <c r="CV57" s="232"/>
      <c r="CW57" s="232"/>
      <c r="CX57" s="232"/>
      <c r="CY57" s="232"/>
      <c r="CZ57" s="232"/>
      <c r="DA57" s="232"/>
      <c r="DB57" s="232"/>
      <c r="DC57" s="232"/>
      <c r="DD57" s="232"/>
      <c r="DE57" s="232"/>
      <c r="DF57" s="232"/>
    </row>
    <row r="58" spans="1:110" s="144" customFormat="1" x14ac:dyDescent="0.3">
      <c r="B58" s="144" t="s">
        <v>501</v>
      </c>
      <c r="D58" s="290" t="s">
        <v>501</v>
      </c>
      <c r="E58" s="290"/>
      <c r="F58" s="220"/>
      <c r="H58" s="291" t="s">
        <v>502</v>
      </c>
      <c r="I58" s="291"/>
      <c r="J58" s="291"/>
      <c r="K58" s="221"/>
      <c r="L58" s="222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223"/>
      <c r="Y58" s="224"/>
      <c r="Z58" s="193"/>
      <c r="AA58" s="193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L58" s="193"/>
      <c r="AM58" s="193"/>
      <c r="AN58" s="193"/>
      <c r="AO58" s="193"/>
      <c r="AP58" s="193"/>
      <c r="AQ58" s="193"/>
      <c r="AR58" s="193"/>
      <c r="AS58" s="193"/>
      <c r="AT58" s="193"/>
      <c r="AU58" s="193"/>
      <c r="AV58" s="193"/>
      <c r="AW58" s="193"/>
      <c r="AX58" s="193"/>
      <c r="AY58" s="193"/>
      <c r="AZ58" s="193"/>
      <c r="BA58" s="193"/>
      <c r="BB58" s="193"/>
      <c r="BC58" s="193"/>
      <c r="BD58" s="193"/>
      <c r="BE58" s="193"/>
      <c r="BF58" s="193"/>
      <c r="BG58" s="193"/>
      <c r="BH58" s="193"/>
      <c r="BI58" s="193"/>
      <c r="BJ58" s="193"/>
      <c r="BK58" s="193"/>
      <c r="BL58" s="193"/>
      <c r="BM58" s="193"/>
      <c r="BN58" s="193"/>
      <c r="BO58" s="193"/>
      <c r="BP58" s="193"/>
      <c r="BQ58" s="193"/>
      <c r="BR58" s="193"/>
      <c r="BS58" s="193"/>
      <c r="BT58" s="193"/>
      <c r="BU58" s="193"/>
      <c r="BV58" s="193"/>
      <c r="BW58" s="193"/>
      <c r="BX58" s="193"/>
      <c r="BY58" s="193"/>
      <c r="BZ58" s="193"/>
      <c r="CA58" s="225"/>
      <c r="CB58" s="225"/>
      <c r="CC58" s="225"/>
      <c r="CD58" s="225"/>
      <c r="CE58" s="225"/>
      <c r="CF58" s="225"/>
      <c r="CG58" s="225"/>
      <c r="CH58" s="225"/>
      <c r="CI58" s="225"/>
      <c r="CJ58" s="225"/>
      <c r="CK58" s="225"/>
      <c r="CL58" s="225"/>
      <c r="CM58" s="225"/>
      <c r="CN58" s="225"/>
      <c r="CO58" s="225"/>
      <c r="CP58" s="225"/>
      <c r="CQ58" s="225"/>
      <c r="CR58" s="225"/>
      <c r="CS58" s="225"/>
      <c r="CT58" s="225"/>
      <c r="CU58" s="225"/>
      <c r="CV58" s="225"/>
      <c r="CW58" s="225"/>
      <c r="CX58" s="225"/>
      <c r="CY58" s="225"/>
      <c r="CZ58" s="225"/>
      <c r="DA58" s="225"/>
      <c r="DB58" s="225"/>
      <c r="DC58" s="225"/>
      <c r="DD58" s="225"/>
      <c r="DE58" s="225"/>
      <c r="DF58" s="225"/>
    </row>
    <row r="59" spans="1:110" x14ac:dyDescent="0.3">
      <c r="D59" s="290"/>
      <c r="E59" s="290"/>
      <c r="H59" s="291"/>
      <c r="I59" s="291"/>
      <c r="J59" s="291"/>
    </row>
    <row r="62" spans="1:110" s="134" customFormat="1" x14ac:dyDescent="0.3">
      <c r="A62" s="132"/>
      <c r="B62" s="132"/>
      <c r="C62" s="132"/>
      <c r="D62" s="140"/>
      <c r="E62" s="139"/>
      <c r="F62" s="139"/>
      <c r="G62" s="132"/>
      <c r="H62" s="132"/>
      <c r="I62" s="132"/>
      <c r="J62" s="132"/>
      <c r="K62" s="138"/>
      <c r="L62" s="137"/>
      <c r="X62" s="136"/>
      <c r="Y62" s="135"/>
      <c r="CA62" s="133"/>
      <c r="CB62" s="133"/>
      <c r="CC62" s="133"/>
      <c r="CD62" s="133"/>
      <c r="CE62" s="133"/>
      <c r="CF62" s="133"/>
      <c r="CG62" s="133"/>
      <c r="CH62" s="133"/>
      <c r="CI62" s="133"/>
      <c r="CJ62" s="133"/>
      <c r="CK62" s="133"/>
      <c r="CL62" s="133"/>
      <c r="CM62" s="133"/>
      <c r="CN62" s="133"/>
      <c r="CO62" s="133"/>
      <c r="CP62" s="133"/>
      <c r="CQ62" s="133"/>
      <c r="CR62" s="133"/>
      <c r="CS62" s="133"/>
      <c r="CT62" s="133"/>
      <c r="CU62" s="133"/>
      <c r="CV62" s="133"/>
      <c r="CW62" s="133"/>
      <c r="CX62" s="133"/>
      <c r="CY62" s="133"/>
      <c r="CZ62" s="133"/>
      <c r="DA62" s="133"/>
      <c r="DB62" s="133"/>
      <c r="DC62" s="133"/>
      <c r="DD62" s="133"/>
      <c r="DE62" s="133"/>
      <c r="DF62" s="133"/>
    </row>
  </sheetData>
  <mergeCells count="21">
    <mergeCell ref="A53:B53"/>
    <mergeCell ref="A6:J6"/>
    <mergeCell ref="A45:B45"/>
    <mergeCell ref="A46:J46"/>
    <mergeCell ref="F48:J48"/>
    <mergeCell ref="A49:B49"/>
    <mergeCell ref="F49:J49"/>
    <mergeCell ref="D49:E49"/>
    <mergeCell ref="A2:B2"/>
    <mergeCell ref="A3:B3"/>
    <mergeCell ref="A4:J4"/>
    <mergeCell ref="A5:J5"/>
    <mergeCell ref="F2:J2"/>
    <mergeCell ref="F1:J1"/>
    <mergeCell ref="C56:F56"/>
    <mergeCell ref="D59:E59"/>
    <mergeCell ref="H59:J59"/>
    <mergeCell ref="D57:E57"/>
    <mergeCell ref="H57:J57"/>
    <mergeCell ref="D58:E58"/>
    <mergeCell ref="H58:J58"/>
  </mergeCells>
  <pageMargins left="0.71" right="0.33" top="0.23" bottom="0.2" header="0.2" footer="0.2"/>
  <pageSetup paperSize="9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O27"/>
  <sheetViews>
    <sheetView workbookViewId="0">
      <selection activeCell="D16" sqref="D16"/>
    </sheetView>
  </sheetViews>
  <sheetFormatPr defaultColWidth="9.109375" defaultRowHeight="13.2" x14ac:dyDescent="0.25"/>
  <cols>
    <col min="1" max="1" width="4.44140625" style="123" customWidth="1"/>
    <col min="2" max="2" width="16.33203125" style="123" customWidth="1"/>
    <col min="3" max="3" width="12.109375" style="123" customWidth="1"/>
    <col min="4" max="4" width="11.109375" style="123" customWidth="1"/>
    <col min="5" max="5" width="10.5546875" style="123" customWidth="1"/>
    <col min="6" max="6" width="11.109375" style="123" customWidth="1"/>
    <col min="7" max="7" width="9.44140625" style="123" customWidth="1"/>
    <col min="8" max="8" width="10.33203125" style="123" customWidth="1"/>
    <col min="9" max="9" width="5.5546875" style="123" customWidth="1"/>
    <col min="10" max="10" width="9.6640625" style="123" customWidth="1"/>
    <col min="11" max="11" width="9.88671875" style="123" customWidth="1"/>
    <col min="12" max="12" width="11.33203125" style="123" bestFit="1" customWidth="1"/>
    <col min="13" max="13" width="13.5546875" style="123" customWidth="1"/>
    <col min="14" max="14" width="11.33203125" style="123" bestFit="1" customWidth="1"/>
    <col min="15" max="16384" width="9.109375" style="123"/>
  </cols>
  <sheetData>
    <row r="1" spans="1:15" x14ac:dyDescent="0.25">
      <c r="A1" s="122" t="s">
        <v>363</v>
      </c>
      <c r="B1" s="122"/>
      <c r="C1" s="122"/>
      <c r="D1" s="122"/>
      <c r="E1" s="122"/>
      <c r="F1" s="122"/>
      <c r="G1" s="301" t="s">
        <v>364</v>
      </c>
      <c r="H1" s="301"/>
      <c r="I1" s="301"/>
      <c r="J1" s="301"/>
      <c r="K1" s="301"/>
    </row>
    <row r="2" spans="1:15" x14ac:dyDescent="0.25">
      <c r="A2" s="122" t="s">
        <v>365</v>
      </c>
      <c r="B2" s="122"/>
      <c r="C2" s="122"/>
      <c r="D2" s="122"/>
      <c r="E2" s="122"/>
      <c r="F2" s="122"/>
      <c r="G2" s="302"/>
      <c r="H2" s="302"/>
      <c r="I2" s="302"/>
      <c r="J2" s="302"/>
      <c r="K2" s="302"/>
    </row>
    <row r="3" spans="1:15" x14ac:dyDescent="0.25">
      <c r="A3" s="122"/>
      <c r="B3" s="122"/>
      <c r="C3" s="122"/>
      <c r="D3" s="122"/>
      <c r="E3" s="122"/>
      <c r="F3" s="122"/>
      <c r="G3" s="302"/>
      <c r="H3" s="302"/>
      <c r="I3" s="302"/>
      <c r="J3" s="302"/>
      <c r="K3" s="302"/>
    </row>
    <row r="4" spans="1:15" x14ac:dyDescent="0.25">
      <c r="A4" s="303" t="s">
        <v>366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</row>
    <row r="5" spans="1:15" x14ac:dyDescent="0.25">
      <c r="A5" s="304" t="str">
        <f>donvi!B2</f>
        <v>Tháng 7 Năm 2019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</row>
    <row r="6" spans="1:15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1:15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4"/>
    </row>
    <row r="8" spans="1:15" ht="28.5" customHeight="1" x14ac:dyDescent="0.25">
      <c r="A8" s="306" t="s">
        <v>300</v>
      </c>
      <c r="B8" s="306" t="s">
        <v>367</v>
      </c>
      <c r="C8" s="306" t="s">
        <v>368</v>
      </c>
      <c r="D8" s="309" t="s">
        <v>369</v>
      </c>
      <c r="E8" s="309"/>
      <c r="F8" s="309"/>
      <c r="G8" s="309" t="s">
        <v>299</v>
      </c>
      <c r="H8" s="309"/>
      <c r="I8" s="309"/>
      <c r="J8" s="309"/>
      <c r="K8" s="309"/>
    </row>
    <row r="9" spans="1:15" x14ac:dyDescent="0.25">
      <c r="A9" s="307"/>
      <c r="B9" s="307"/>
      <c r="C9" s="307"/>
      <c r="D9" s="306" t="s">
        <v>335</v>
      </c>
      <c r="E9" s="309" t="s">
        <v>370</v>
      </c>
      <c r="F9" s="309"/>
      <c r="G9" s="306" t="s">
        <v>335</v>
      </c>
      <c r="H9" s="309" t="s">
        <v>370</v>
      </c>
      <c r="I9" s="309"/>
      <c r="J9" s="309" t="s">
        <v>371</v>
      </c>
      <c r="K9" s="309" t="s">
        <v>372</v>
      </c>
      <c r="L9" s="124"/>
    </row>
    <row r="10" spans="1:15" x14ac:dyDescent="0.25">
      <c r="A10" s="307"/>
      <c r="B10" s="307"/>
      <c r="C10" s="307"/>
      <c r="D10" s="307"/>
      <c r="E10" s="309"/>
      <c r="F10" s="309"/>
      <c r="G10" s="307"/>
      <c r="H10" s="309"/>
      <c r="I10" s="309"/>
      <c r="J10" s="309"/>
      <c r="K10" s="309"/>
    </row>
    <row r="11" spans="1:15" x14ac:dyDescent="0.25">
      <c r="A11" s="307"/>
      <c r="B11" s="307"/>
      <c r="C11" s="307"/>
      <c r="D11" s="307"/>
      <c r="E11" s="309" t="s">
        <v>373</v>
      </c>
      <c r="F11" s="309" t="s">
        <v>374</v>
      </c>
      <c r="G11" s="307"/>
      <c r="H11" s="309" t="s">
        <v>373</v>
      </c>
      <c r="I11" s="309" t="s">
        <v>374</v>
      </c>
      <c r="J11" s="309"/>
      <c r="K11" s="309"/>
      <c r="L11" s="196">
        <f>((Luong_BC!E7+Luong_BC!F7+Luong_BC!G7+Luong_BC!I7)*1490000)*1%</f>
        <v>113687</v>
      </c>
    </row>
    <row r="12" spans="1:15" ht="27.75" customHeight="1" x14ac:dyDescent="0.25">
      <c r="A12" s="308"/>
      <c r="B12" s="308"/>
      <c r="C12" s="308"/>
      <c r="D12" s="308"/>
      <c r="E12" s="309"/>
      <c r="F12" s="309"/>
      <c r="G12" s="308"/>
      <c r="H12" s="309"/>
      <c r="I12" s="309"/>
      <c r="J12" s="309"/>
      <c r="K12" s="309"/>
    </row>
    <row r="13" spans="1:15" x14ac:dyDescent="0.25">
      <c r="A13" s="125">
        <v>1</v>
      </c>
      <c r="B13" s="126" t="str">
        <f>A5</f>
        <v>Tháng 7 Năm 2019</v>
      </c>
      <c r="C13" s="126">
        <f>ROUND(Luong_BC!U40*1490000,0)</f>
        <v>159996498</v>
      </c>
      <c r="D13" s="126">
        <f>ROUND(SUM(E13:F13),0)</f>
        <v>50971505</v>
      </c>
      <c r="E13" s="127">
        <f>C13*21.5%-L11</f>
        <v>34285560.07</v>
      </c>
      <c r="F13" s="126">
        <f>(C13*10.5%-L11)</f>
        <v>16685945.289999999</v>
      </c>
      <c r="G13" s="126">
        <f>ROUND(SUM(H13:I13),0)</f>
        <v>3199930</v>
      </c>
      <c r="H13" s="126">
        <f>C13*2%</f>
        <v>3199929.96</v>
      </c>
      <c r="I13" s="126"/>
      <c r="J13" s="126">
        <f>ROUND(G13*40%,0)</f>
        <v>1279972</v>
      </c>
      <c r="K13" s="126">
        <f>ROUND(G13*60%,0)</f>
        <v>1919958</v>
      </c>
      <c r="L13" s="124">
        <f>D16-D14-D15</f>
        <v>50971505</v>
      </c>
      <c r="M13" s="201"/>
      <c r="N13" s="202"/>
      <c r="O13" s="123" t="s">
        <v>479</v>
      </c>
    </row>
    <row r="14" spans="1:15" x14ac:dyDescent="0.25">
      <c r="A14" s="125">
        <v>2</v>
      </c>
      <c r="B14" s="126" t="str">
        <f>B13</f>
        <v>Tháng 7 Năm 2019</v>
      </c>
      <c r="C14" s="126">
        <f>ROUND('Luong HĐ 68'!hesoluongcanban_vv*1490000,0)</f>
        <v>9461500</v>
      </c>
      <c r="D14" s="126">
        <f>ROUND(SUM(E14:F14),0)</f>
        <v>3027680</v>
      </c>
      <c r="E14" s="127">
        <f>C14*21.5%-L12</f>
        <v>2034222.5</v>
      </c>
      <c r="F14" s="126">
        <f>(C14*10.5%-L12)</f>
        <v>993457.5</v>
      </c>
      <c r="G14" s="126">
        <f>ROUND(SUM(H14:I14),0)</f>
        <v>189230</v>
      </c>
      <c r="H14" s="126">
        <f>C14*2%</f>
        <v>189230</v>
      </c>
      <c r="I14" s="126"/>
      <c r="J14" s="126">
        <f>ROUND(G14*40%,0)</f>
        <v>75692</v>
      </c>
      <c r="K14" s="126">
        <f>ROUND(G14*60%,0)</f>
        <v>113538</v>
      </c>
      <c r="L14" s="99"/>
      <c r="M14" s="200"/>
      <c r="N14" s="200"/>
      <c r="O14" s="123" t="s">
        <v>480</v>
      </c>
    </row>
    <row r="15" spans="1:15" x14ac:dyDescent="0.25">
      <c r="A15" s="125">
        <v>3</v>
      </c>
      <c r="B15" s="126" t="str">
        <f>B14</f>
        <v>Tháng 7 Năm 2019</v>
      </c>
      <c r="C15" s="126">
        <f>ROUND(('Luong VV'!E6+'Luong VV'!E8)*1490000,0)</f>
        <v>17269100</v>
      </c>
      <c r="D15" s="126">
        <f>ROUND(SUM(E15:F15),0)</f>
        <v>5526112</v>
      </c>
      <c r="E15" s="127">
        <f>C15*21.5%</f>
        <v>3712856.5</v>
      </c>
      <c r="F15" s="126">
        <f>C15*10.5%</f>
        <v>1813255.5</v>
      </c>
      <c r="G15" s="126">
        <f>ROUND(SUM(H15:I15),0)</f>
        <v>345382</v>
      </c>
      <c r="H15" s="126">
        <f>C15*2%</f>
        <v>345382</v>
      </c>
      <c r="I15" s="126"/>
      <c r="J15" s="126">
        <f>ROUND(G15*40%,0)</f>
        <v>138153</v>
      </c>
      <c r="K15" s="126">
        <f>ROUND(G15*60%,0)</f>
        <v>207229</v>
      </c>
      <c r="L15" s="101"/>
      <c r="M15" s="203"/>
    </row>
    <row r="16" spans="1:15" x14ac:dyDescent="0.25">
      <c r="A16" s="310" t="s">
        <v>308</v>
      </c>
      <c r="B16" s="311"/>
      <c r="C16" s="128">
        <f t="shared" ref="C16:K16" si="0">ROUND(SUM(C13:C15),0)</f>
        <v>186727098</v>
      </c>
      <c r="D16" s="128">
        <f t="shared" si="0"/>
        <v>59525297</v>
      </c>
      <c r="E16" s="128">
        <f t="shared" si="0"/>
        <v>40032639</v>
      </c>
      <c r="F16" s="128">
        <f t="shared" si="0"/>
        <v>19492658</v>
      </c>
      <c r="G16" s="128">
        <f t="shared" si="0"/>
        <v>3734542</v>
      </c>
      <c r="H16" s="128">
        <f t="shared" si="0"/>
        <v>3734542</v>
      </c>
      <c r="I16" s="128">
        <f t="shared" si="0"/>
        <v>0</v>
      </c>
      <c r="J16" s="128">
        <f t="shared" si="0"/>
        <v>1493817</v>
      </c>
      <c r="K16" s="128">
        <f t="shared" si="0"/>
        <v>2240725</v>
      </c>
    </row>
    <row r="17" spans="1:11" x14ac:dyDescent="0.25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</row>
    <row r="18" spans="1:11" x14ac:dyDescent="0.25">
      <c r="A18" s="122"/>
      <c r="B18" s="122"/>
      <c r="C18" s="122"/>
      <c r="D18" s="122"/>
      <c r="E18" s="122"/>
      <c r="F18" s="129"/>
      <c r="G18" s="122"/>
      <c r="H18" s="122"/>
      <c r="I18" s="122"/>
      <c r="J18" s="122"/>
      <c r="K18" s="122"/>
    </row>
    <row r="19" spans="1:11" x14ac:dyDescent="0.25">
      <c r="A19" s="312" t="s">
        <v>375</v>
      </c>
      <c r="B19" s="312"/>
      <c r="C19" s="312"/>
      <c r="D19" s="312" t="s">
        <v>376</v>
      </c>
      <c r="E19" s="312"/>
      <c r="F19" s="312"/>
      <c r="G19" s="313" t="str">
        <f>donvi!B1</f>
        <v>Tây Ninh, ngày 01 tháng 7 năm 2019</v>
      </c>
      <c r="H19" s="313"/>
      <c r="I19" s="313"/>
      <c r="J19" s="313"/>
      <c r="K19" s="313"/>
    </row>
    <row r="20" spans="1:11" x14ac:dyDescent="0.25">
      <c r="A20" s="312"/>
      <c r="B20" s="312"/>
      <c r="C20" s="312"/>
      <c r="D20" s="312"/>
      <c r="E20" s="312"/>
      <c r="F20" s="312"/>
      <c r="G20" s="312" t="s">
        <v>296</v>
      </c>
      <c r="H20" s="312"/>
      <c r="I20" s="312"/>
      <c r="J20" s="312"/>
      <c r="K20" s="312"/>
    </row>
    <row r="21" spans="1:11" x14ac:dyDescent="0.25">
      <c r="A21" s="130"/>
      <c r="B21" s="130"/>
      <c r="C21" s="130"/>
      <c r="D21" s="130"/>
      <c r="E21" s="131"/>
      <c r="F21" s="130"/>
      <c r="G21" s="130"/>
      <c r="H21" s="130"/>
      <c r="I21" s="131"/>
      <c r="J21" s="130"/>
      <c r="K21" s="131"/>
    </row>
    <row r="22" spans="1:11" x14ac:dyDescent="0.25">
      <c r="A22" s="130"/>
      <c r="B22" s="130"/>
      <c r="C22" s="130"/>
      <c r="D22" s="130"/>
      <c r="E22" s="131"/>
      <c r="F22" s="130"/>
      <c r="G22" s="130"/>
      <c r="H22" s="130"/>
      <c r="I22" s="131"/>
      <c r="J22" s="130"/>
      <c r="K22" s="131"/>
    </row>
    <row r="23" spans="1:11" x14ac:dyDescent="0.25">
      <c r="A23" s="130"/>
      <c r="B23" s="130"/>
      <c r="C23" s="130"/>
      <c r="D23" s="130"/>
      <c r="E23" s="131"/>
      <c r="F23" s="130"/>
      <c r="G23" s="130"/>
      <c r="H23" s="130"/>
      <c r="I23" s="131"/>
      <c r="J23" s="130"/>
      <c r="K23" s="131"/>
    </row>
    <row r="24" spans="1:11" x14ac:dyDescent="0.25">
      <c r="A24" s="130"/>
      <c r="B24" s="130"/>
      <c r="C24" s="130"/>
      <c r="D24" s="130"/>
      <c r="E24" s="131"/>
      <c r="F24" s="130"/>
      <c r="G24" s="130"/>
      <c r="H24" s="130"/>
      <c r="I24" s="131"/>
      <c r="J24" s="130"/>
      <c r="K24" s="131"/>
    </row>
    <row r="25" spans="1:11" x14ac:dyDescent="0.25">
      <c r="A25" s="130"/>
      <c r="B25" s="130"/>
      <c r="C25" s="130"/>
      <c r="D25" s="130"/>
      <c r="E25" s="131"/>
      <c r="F25" s="130"/>
      <c r="G25" s="130"/>
      <c r="H25" s="130"/>
      <c r="I25" s="131"/>
      <c r="J25" s="130"/>
      <c r="K25" s="131"/>
    </row>
    <row r="26" spans="1:11" x14ac:dyDescent="0.25">
      <c r="A26" s="130"/>
      <c r="B26" s="130"/>
      <c r="C26" s="130"/>
      <c r="D26" s="130"/>
      <c r="E26" s="131"/>
      <c r="F26" s="130"/>
      <c r="G26" s="130"/>
      <c r="H26" s="130"/>
      <c r="I26" s="131"/>
      <c r="J26" s="130"/>
      <c r="K26" s="131"/>
    </row>
    <row r="27" spans="1:11" x14ac:dyDescent="0.25">
      <c r="A27" s="305" t="str">
        <f>lapbieu_1</f>
        <v>Nguyễn Thị Thu Lan</v>
      </c>
      <c r="B27" s="305"/>
      <c r="C27" s="305"/>
      <c r="D27" s="305" t="str">
        <f>ketoantruong_1</f>
        <v>Nguyễn Văn Cường</v>
      </c>
      <c r="E27" s="305"/>
      <c r="F27" s="305"/>
      <c r="G27" s="305"/>
      <c r="H27" s="305"/>
      <c r="I27" s="305"/>
      <c r="J27" s="305"/>
      <c r="K27" s="305"/>
    </row>
  </sheetData>
  <mergeCells count="28">
    <mergeCell ref="A8:A12"/>
    <mergeCell ref="A19:C20"/>
    <mergeCell ref="D19:F20"/>
    <mergeCell ref="G19:K19"/>
    <mergeCell ref="G20:K20"/>
    <mergeCell ref="H11:H12"/>
    <mergeCell ref="I11:I12"/>
    <mergeCell ref="A27:C27"/>
    <mergeCell ref="D27:F27"/>
    <mergeCell ref="G27:K27"/>
    <mergeCell ref="B8:B12"/>
    <mergeCell ref="C8:C12"/>
    <mergeCell ref="D8:F8"/>
    <mergeCell ref="G8:K8"/>
    <mergeCell ref="D9:D12"/>
    <mergeCell ref="E9:F10"/>
    <mergeCell ref="G9:G12"/>
    <mergeCell ref="H9:I10"/>
    <mergeCell ref="J9:J12"/>
    <mergeCell ref="K9:K12"/>
    <mergeCell ref="E11:E12"/>
    <mergeCell ref="F11:F12"/>
    <mergeCell ref="A16:B16"/>
    <mergeCell ref="G1:K1"/>
    <mergeCell ref="G2:K2"/>
    <mergeCell ref="G3:K3"/>
    <mergeCell ref="A4:K4"/>
    <mergeCell ref="A5:K5"/>
  </mergeCells>
  <pageMargins left="0.2" right="0.2" top="0.75" bottom="0.75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</sheetPr>
  <dimension ref="A1:S19"/>
  <sheetViews>
    <sheetView topLeftCell="A3" workbookViewId="0">
      <selection activeCell="A6" sqref="A6:IV6"/>
    </sheetView>
  </sheetViews>
  <sheetFormatPr defaultColWidth="9.109375" defaultRowHeight="13.2" x14ac:dyDescent="0.25"/>
  <cols>
    <col min="1" max="1" width="4.44140625" style="1" customWidth="1"/>
    <col min="2" max="2" width="15.6640625" style="1" customWidth="1"/>
    <col min="3" max="3" width="8.5546875" style="1" customWidth="1"/>
    <col min="4" max="4" width="5.88671875" style="1" customWidth="1"/>
    <col min="5" max="5" width="6" style="1" customWidth="1"/>
    <col min="6" max="6" width="5.109375" style="1" customWidth="1"/>
    <col min="7" max="7" width="6.33203125" style="1" customWidth="1"/>
    <col min="8" max="8" width="5.109375" style="1" customWidth="1"/>
    <col min="9" max="9" width="6" style="1" customWidth="1"/>
    <col min="10" max="10" width="4.33203125" style="1" customWidth="1"/>
    <col min="11" max="11" width="6.5546875" style="1" customWidth="1"/>
    <col min="12" max="12" width="5.33203125" style="1" customWidth="1"/>
    <col min="13" max="13" width="5" style="1" customWidth="1"/>
    <col min="14" max="14" width="9.5546875" style="1" customWidth="1"/>
    <col min="15" max="16" width="9" style="1" customWidth="1"/>
    <col min="17" max="17" width="7.88671875" style="1" customWidth="1"/>
    <col min="18" max="18" width="10" style="1" customWidth="1"/>
    <col min="19" max="19" width="7.109375" style="1" customWidth="1"/>
    <col min="20" max="16384" width="9.109375" style="1"/>
  </cols>
  <sheetData>
    <row r="1" spans="1:19" s="7" customFormat="1" ht="13.5" customHeight="1" x14ac:dyDescent="0.25">
      <c r="A1" s="252" t="s">
        <v>27</v>
      </c>
      <c r="B1" s="252"/>
      <c r="C1" s="252"/>
      <c r="D1" s="252"/>
      <c r="E1" s="252"/>
      <c r="F1" s="252"/>
      <c r="H1" s="251" t="s">
        <v>29</v>
      </c>
      <c r="I1" s="251"/>
      <c r="J1" s="251"/>
      <c r="K1" s="251"/>
      <c r="L1" s="251"/>
      <c r="M1" s="251"/>
      <c r="N1" s="251"/>
      <c r="O1" s="251"/>
      <c r="P1" s="251"/>
      <c r="Q1" s="251"/>
      <c r="R1" s="251"/>
    </row>
    <row r="2" spans="1:19" s="7" customFormat="1" ht="13.5" customHeight="1" x14ac:dyDescent="0.25">
      <c r="A2" s="252" t="s">
        <v>28</v>
      </c>
      <c r="B2" s="252"/>
      <c r="C2" s="252"/>
      <c r="D2" s="252"/>
      <c r="E2" s="252"/>
      <c r="F2" s="252"/>
      <c r="H2" s="251" t="s">
        <v>30</v>
      </c>
      <c r="I2" s="251"/>
      <c r="J2" s="251"/>
      <c r="K2" s="251"/>
      <c r="L2" s="251"/>
      <c r="M2" s="251"/>
      <c r="N2" s="251"/>
      <c r="O2" s="251"/>
      <c r="P2" s="251"/>
      <c r="Q2" s="251"/>
      <c r="R2" s="251"/>
    </row>
    <row r="3" spans="1:19" s="7" customFormat="1" ht="21" customHeight="1" x14ac:dyDescent="0.3">
      <c r="A3" s="253" t="s">
        <v>239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</row>
    <row r="4" spans="1:19" s="7" customFormat="1" ht="21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</row>
    <row r="5" spans="1:19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246</v>
      </c>
      <c r="N5" s="44" t="s">
        <v>25</v>
      </c>
      <c r="O5" s="44" t="s">
        <v>75</v>
      </c>
      <c r="P5" s="44" t="s">
        <v>74</v>
      </c>
      <c r="Q5" s="44" t="s">
        <v>217</v>
      </c>
      <c r="R5" s="44" t="s">
        <v>26</v>
      </c>
      <c r="S5" s="44" t="s">
        <v>101</v>
      </c>
    </row>
    <row r="6" spans="1:19" s="51" customFormat="1" ht="15" customHeight="1" x14ac:dyDescent="0.25">
      <c r="A6" s="46"/>
      <c r="B6" s="47"/>
      <c r="C6" s="47"/>
      <c r="D6" s="47"/>
      <c r="E6" s="48"/>
      <c r="F6" s="48"/>
      <c r="G6" s="49"/>
      <c r="H6" s="48"/>
      <c r="I6" s="49"/>
      <c r="J6" s="48"/>
      <c r="K6" s="49"/>
      <c r="L6" s="48"/>
      <c r="M6" s="48"/>
      <c r="N6" s="50"/>
      <c r="O6" s="50"/>
      <c r="P6" s="50"/>
      <c r="Q6" s="50"/>
      <c r="R6" s="50"/>
      <c r="S6" s="50"/>
    </row>
    <row r="7" spans="1:19" s="51" customFormat="1" ht="15" customHeight="1" x14ac:dyDescent="0.25">
      <c r="A7" s="46"/>
      <c r="B7" s="47"/>
      <c r="C7" s="47"/>
      <c r="D7" s="47"/>
      <c r="E7" s="48"/>
      <c r="F7" s="48"/>
      <c r="G7" s="49"/>
      <c r="H7" s="48"/>
      <c r="I7" s="49"/>
      <c r="J7" s="48"/>
      <c r="K7" s="49"/>
      <c r="L7" s="48"/>
      <c r="M7" s="48"/>
      <c r="N7" s="50"/>
      <c r="O7" s="50"/>
      <c r="P7" s="50"/>
      <c r="Q7" s="50"/>
      <c r="R7" s="50"/>
      <c r="S7" s="50"/>
    </row>
    <row r="8" spans="1:19" s="51" customFormat="1" ht="15" customHeight="1" x14ac:dyDescent="0.25">
      <c r="A8" s="46"/>
      <c r="B8" s="47"/>
      <c r="C8" s="47"/>
      <c r="D8" s="47"/>
      <c r="E8" s="48"/>
      <c r="F8" s="48"/>
      <c r="G8" s="49"/>
      <c r="H8" s="48"/>
      <c r="I8" s="49"/>
      <c r="J8" s="48"/>
      <c r="K8" s="49"/>
      <c r="L8" s="48"/>
      <c r="M8" s="48"/>
      <c r="N8" s="50"/>
      <c r="O8" s="50"/>
      <c r="P8" s="50"/>
      <c r="Q8" s="50"/>
      <c r="R8" s="50"/>
      <c r="S8" s="50"/>
    </row>
    <row r="9" spans="1:19" s="57" customFormat="1" ht="15" customHeight="1" x14ac:dyDescent="0.25">
      <c r="A9" s="52"/>
      <c r="B9" s="258" t="s">
        <v>49</v>
      </c>
      <c r="C9" s="259"/>
      <c r="D9" s="53"/>
      <c r="E9" s="54">
        <f t="shared" ref="E9:R9" si="0">SUM(E6:E8)</f>
        <v>0</v>
      </c>
      <c r="F9" s="54">
        <f t="shared" si="0"/>
        <v>0</v>
      </c>
      <c r="G9" s="55">
        <f t="shared" si="0"/>
        <v>0</v>
      </c>
      <c r="H9" s="54">
        <f t="shared" si="0"/>
        <v>0</v>
      </c>
      <c r="I9" s="55">
        <f t="shared" si="0"/>
        <v>0</v>
      </c>
      <c r="J9" s="54">
        <f t="shared" si="0"/>
        <v>0</v>
      </c>
      <c r="K9" s="55">
        <f t="shared" si="0"/>
        <v>0</v>
      </c>
      <c r="L9" s="54">
        <f t="shared" si="0"/>
        <v>0</v>
      </c>
      <c r="M9" s="54">
        <f t="shared" si="0"/>
        <v>0</v>
      </c>
      <c r="N9" s="56">
        <f t="shared" si="0"/>
        <v>0</v>
      </c>
      <c r="O9" s="56">
        <f t="shared" si="0"/>
        <v>0</v>
      </c>
      <c r="P9" s="56">
        <f t="shared" si="0"/>
        <v>0</v>
      </c>
      <c r="Q9" s="56">
        <f t="shared" si="0"/>
        <v>0</v>
      </c>
      <c r="R9" s="56">
        <f t="shared" si="0"/>
        <v>0</v>
      </c>
      <c r="S9" s="50"/>
    </row>
    <row r="10" spans="1:19" s="25" customFormat="1" ht="27" customHeight="1" x14ac:dyDescent="0.25">
      <c r="A10" s="43"/>
      <c r="B10" s="260" t="str">
        <f>lb_4</f>
        <v>Ghi chú: BHXH, BHYT, BHTN = (Hệ số lương + Chức vụ + Vượt khung + Thâm niên nghề) x1.390.000 x Hệ số BHXH, BHYT, BHTN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</row>
    <row r="11" spans="1:19" s="2" customFormat="1" x14ac:dyDescent="0.25">
      <c r="N11" s="256" t="str">
        <f>ngay</f>
        <v>Tây Ninh, ngày 01 tháng 7 năm 2019</v>
      </c>
      <c r="O11" s="256"/>
      <c r="P11" s="256"/>
      <c r="Q11" s="256"/>
      <c r="R11" s="256"/>
      <c r="S11" s="256"/>
    </row>
    <row r="12" spans="1:19" s="15" customFormat="1" ht="33.75" customHeight="1" x14ac:dyDescent="0.25">
      <c r="A12" s="20"/>
      <c r="B12" s="251" t="s">
        <v>72</v>
      </c>
      <c r="C12" s="251"/>
      <c r="D12" s="251" t="s">
        <v>73</v>
      </c>
      <c r="E12" s="251"/>
      <c r="F12" s="251"/>
      <c r="G12" s="251"/>
      <c r="H12" s="251"/>
      <c r="I12" s="251"/>
      <c r="J12" s="251"/>
      <c r="K12" s="251"/>
      <c r="L12" s="251"/>
      <c r="N12" s="252" t="s">
        <v>71</v>
      </c>
      <c r="O12" s="252"/>
      <c r="P12" s="252"/>
      <c r="Q12" s="252"/>
      <c r="R12" s="252"/>
      <c r="S12" s="252"/>
    </row>
    <row r="13" spans="1:19" x14ac:dyDescent="0.25">
      <c r="E13" s="13"/>
      <c r="N13" s="4"/>
      <c r="O13" s="4"/>
      <c r="P13" s="4"/>
      <c r="Q13" s="4"/>
      <c r="R13" s="4"/>
    </row>
    <row r="14" spans="1:19" x14ac:dyDescent="0.25">
      <c r="N14" s="4"/>
      <c r="O14" s="4"/>
      <c r="P14" s="4"/>
      <c r="Q14" s="4"/>
      <c r="R14" s="4"/>
    </row>
    <row r="15" spans="1:19" x14ac:dyDescent="0.25">
      <c r="N15" s="4"/>
      <c r="O15" s="4"/>
      <c r="P15" s="4"/>
      <c r="Q15" s="4"/>
      <c r="R15" s="4"/>
    </row>
    <row r="16" spans="1:19" x14ac:dyDescent="0.25">
      <c r="N16" s="4"/>
      <c r="O16" s="4"/>
      <c r="P16" s="4"/>
      <c r="Q16" s="4"/>
      <c r="R16" s="4"/>
    </row>
    <row r="19" spans="1:19" x14ac:dyDescent="0.25">
      <c r="A19" s="27"/>
      <c r="B19" s="261" t="str">
        <f>lb_1</f>
        <v>Nguyễn Thị Thu Lan</v>
      </c>
      <c r="C19" s="261"/>
      <c r="D19" s="261" t="str">
        <f>lb_2</f>
        <v>Nguyễn Văn Cường</v>
      </c>
      <c r="E19" s="261"/>
      <c r="F19" s="261"/>
      <c r="G19" s="261"/>
      <c r="H19" s="261"/>
      <c r="I19" s="261"/>
      <c r="J19" s="261"/>
      <c r="K19" s="261"/>
      <c r="L19" s="261"/>
      <c r="M19" s="28"/>
      <c r="N19" s="257">
        <f>lb_3</f>
        <v>0</v>
      </c>
      <c r="O19" s="257"/>
      <c r="P19" s="257"/>
      <c r="Q19" s="257"/>
      <c r="R19" s="257"/>
      <c r="S19" s="257"/>
    </row>
  </sheetData>
  <mergeCells count="15">
    <mergeCell ref="B9:C9"/>
    <mergeCell ref="B10:S10"/>
    <mergeCell ref="N11:S11"/>
    <mergeCell ref="H1:R1"/>
    <mergeCell ref="H2:R2"/>
    <mergeCell ref="A3:S3"/>
    <mergeCell ref="A4:S4"/>
    <mergeCell ref="A1:F1"/>
    <mergeCell ref="A2:F2"/>
    <mergeCell ref="B12:C12"/>
    <mergeCell ref="D12:L12"/>
    <mergeCell ref="N12:S12"/>
    <mergeCell ref="B19:C19"/>
    <mergeCell ref="D19:L19"/>
    <mergeCell ref="N19:S19"/>
  </mergeCells>
  <phoneticPr fontId="3" type="noConversion"/>
  <pageMargins left="0.17" right="0.16" top="0.78" bottom="0.75" header="0.36" footer="0.5"/>
  <pageSetup orientation="landscape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indexed="10"/>
  </sheetPr>
  <dimension ref="A1:S6"/>
  <sheetViews>
    <sheetView workbookViewId="0">
      <selection activeCell="E15" sqref="E15"/>
    </sheetView>
  </sheetViews>
  <sheetFormatPr defaultColWidth="9.109375" defaultRowHeight="13.2" x14ac:dyDescent="0.25"/>
  <cols>
    <col min="1" max="1" width="9.109375" style="1"/>
    <col min="2" max="2" width="34.33203125" style="1" customWidth="1"/>
    <col min="3" max="16384" width="9.109375" style="1"/>
  </cols>
  <sheetData>
    <row r="1" spans="1:19" s="3" customFormat="1" x14ac:dyDescent="0.25">
      <c r="A1" s="3" t="s">
        <v>99</v>
      </c>
      <c r="B1" s="26" t="s">
        <v>507</v>
      </c>
      <c r="C1" s="26"/>
      <c r="D1" s="26"/>
      <c r="E1" s="26"/>
    </row>
    <row r="2" spans="1:19" x14ac:dyDescent="0.25">
      <c r="A2" s="1" t="s">
        <v>104</v>
      </c>
      <c r="B2" s="1" t="s">
        <v>508</v>
      </c>
    </row>
    <row r="3" spans="1:19" x14ac:dyDescent="0.25">
      <c r="A3" s="1" t="s">
        <v>109</v>
      </c>
      <c r="B3" s="1" t="s">
        <v>283</v>
      </c>
    </row>
    <row r="4" spans="1:19" x14ac:dyDescent="0.25">
      <c r="A4" s="1" t="s">
        <v>110</v>
      </c>
      <c r="B4" s="1" t="s">
        <v>108</v>
      </c>
    </row>
    <row r="5" spans="1:19" x14ac:dyDescent="0.25">
      <c r="A5" s="1" t="s">
        <v>111</v>
      </c>
    </row>
    <row r="6" spans="1:19" ht="17.25" customHeight="1" x14ac:dyDescent="0.25">
      <c r="A6" s="1" t="s">
        <v>274</v>
      </c>
      <c r="B6" s="314" t="s">
        <v>482</v>
      </c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</row>
  </sheetData>
  <mergeCells count="1">
    <mergeCell ref="B6:S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indexed="10"/>
  </sheetPr>
  <dimension ref="A2:E9"/>
  <sheetViews>
    <sheetView workbookViewId="0">
      <selection activeCell="C4" sqref="C4"/>
    </sheetView>
  </sheetViews>
  <sheetFormatPr defaultColWidth="9.109375" defaultRowHeight="13.2" x14ac:dyDescent="0.25"/>
  <cols>
    <col min="1" max="1" width="22.33203125" style="1" customWidth="1"/>
    <col min="2" max="2" width="12.6640625" style="1" customWidth="1"/>
    <col min="3" max="3" width="9.88671875" style="1" bestFit="1" customWidth="1"/>
    <col min="4" max="16384" width="9.109375" style="1"/>
  </cols>
  <sheetData>
    <row r="2" spans="1:5" x14ac:dyDescent="0.25">
      <c r="A2" s="1" t="s">
        <v>18</v>
      </c>
      <c r="B2" s="1" t="s">
        <v>19</v>
      </c>
      <c r="C2" s="1" t="s">
        <v>20</v>
      </c>
    </row>
    <row r="3" spans="1:5" x14ac:dyDescent="0.25">
      <c r="A3" s="1" t="s">
        <v>77</v>
      </c>
      <c r="B3" s="4">
        <f>SUM(C3:D3)</f>
        <v>1490000</v>
      </c>
      <c r="C3" s="4">
        <v>1390000</v>
      </c>
      <c r="D3" s="4">
        <v>100000</v>
      </c>
    </row>
    <row r="4" spans="1:5" x14ac:dyDescent="0.25">
      <c r="A4" s="1" t="s">
        <v>15</v>
      </c>
      <c r="B4" s="5">
        <f>SUM(C4:E4)</f>
        <v>0.255</v>
      </c>
      <c r="C4" s="5">
        <v>0.08</v>
      </c>
      <c r="D4" s="121">
        <v>0.17499999999999999</v>
      </c>
      <c r="E4" s="6"/>
    </row>
    <row r="5" spans="1:5" x14ac:dyDescent="0.25">
      <c r="A5" s="1" t="s">
        <v>16</v>
      </c>
      <c r="B5" s="5">
        <f>SUM(C5:E5)</f>
        <v>4.4999999999999998E-2</v>
      </c>
      <c r="C5" s="5">
        <v>1.4999999999999999E-2</v>
      </c>
      <c r="D5" s="6">
        <v>0.03</v>
      </c>
    </row>
    <row r="6" spans="1:5" x14ac:dyDescent="0.25">
      <c r="A6" s="1" t="s">
        <v>17</v>
      </c>
      <c r="B6" s="5">
        <f>SUM(C6:E6)</f>
        <v>0.02</v>
      </c>
      <c r="C6" s="6">
        <v>0.01</v>
      </c>
      <c r="D6" s="6">
        <v>0.01</v>
      </c>
    </row>
    <row r="7" spans="1:5" x14ac:dyDescent="0.25">
      <c r="A7" s="1" t="s">
        <v>95</v>
      </c>
      <c r="B7" s="5">
        <f>SUM(C7:E7)</f>
        <v>0.02</v>
      </c>
      <c r="D7" s="6">
        <v>0.02</v>
      </c>
    </row>
    <row r="8" spans="1:5" x14ac:dyDescent="0.25">
      <c r="B8" s="5">
        <f>SUM(B4:B7)</f>
        <v>0.34</v>
      </c>
      <c r="C8" s="5">
        <f>SUM(C4:C7)</f>
        <v>0.105</v>
      </c>
      <c r="D8" s="5">
        <f>SUM(D4:D7)</f>
        <v>0.23499999999999999</v>
      </c>
      <c r="E8" s="5">
        <f>SUM(E4:E7)</f>
        <v>0</v>
      </c>
    </row>
    <row r="9" spans="1:5" x14ac:dyDescent="0.25">
      <c r="A9" s="1" t="s">
        <v>97</v>
      </c>
      <c r="B9" s="1">
        <v>12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indexed="10"/>
  </sheetPr>
  <dimension ref="A1:D16"/>
  <sheetViews>
    <sheetView workbookViewId="0">
      <selection activeCell="G26" sqref="G26"/>
    </sheetView>
  </sheetViews>
  <sheetFormatPr defaultRowHeight="13.2" x14ac:dyDescent="0.25"/>
  <cols>
    <col min="1" max="1" width="10.109375" style="30" customWidth="1"/>
    <col min="2" max="2" width="13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122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123</v>
      </c>
      <c r="C3" s="36"/>
      <c r="D3" s="35"/>
    </row>
    <row r="4" spans="1:4" x14ac:dyDescent="0.25">
      <c r="A4" s="34" t="s">
        <v>4</v>
      </c>
      <c r="B4" s="35" t="s">
        <v>124</v>
      </c>
      <c r="C4" s="36"/>
      <c r="D4" s="35"/>
    </row>
    <row r="5" spans="1:4" x14ac:dyDescent="0.25">
      <c r="A5" s="34" t="s">
        <v>5</v>
      </c>
      <c r="B5" s="35" t="s">
        <v>125</v>
      </c>
      <c r="C5" s="36"/>
      <c r="D5" s="35"/>
    </row>
    <row r="6" spans="1:4" x14ac:dyDescent="0.25">
      <c r="A6" s="34" t="s">
        <v>6</v>
      </c>
      <c r="B6" s="35" t="s">
        <v>126</v>
      </c>
      <c r="C6" s="36"/>
      <c r="D6" s="35"/>
    </row>
    <row r="7" spans="1:4" x14ac:dyDescent="0.25">
      <c r="A7" s="34" t="s">
        <v>7</v>
      </c>
      <c r="B7" s="35" t="s">
        <v>127</v>
      </c>
      <c r="C7" s="36"/>
      <c r="D7" s="35"/>
    </row>
    <row r="8" spans="1:4" x14ac:dyDescent="0.25">
      <c r="A8" s="34" t="s">
        <v>8</v>
      </c>
      <c r="B8" s="35" t="s">
        <v>128</v>
      </c>
      <c r="C8" s="36"/>
      <c r="D8" s="35"/>
    </row>
    <row r="9" spans="1:4" x14ac:dyDescent="0.25">
      <c r="A9" s="34" t="s">
        <v>9</v>
      </c>
      <c r="B9" s="35" t="s">
        <v>129</v>
      </c>
      <c r="C9" s="36"/>
      <c r="D9" s="35"/>
    </row>
    <row r="10" spans="1:4" x14ac:dyDescent="0.25">
      <c r="A10" s="34" t="s">
        <v>10</v>
      </c>
      <c r="B10" s="35" t="s">
        <v>130</v>
      </c>
      <c r="C10" s="36"/>
      <c r="D10" s="35"/>
    </row>
    <row r="11" spans="1:4" x14ac:dyDescent="0.25">
      <c r="A11" s="34" t="s">
        <v>11</v>
      </c>
      <c r="B11" s="35" t="s">
        <v>131</v>
      </c>
      <c r="C11" s="36"/>
      <c r="D11" s="35"/>
    </row>
    <row r="12" spans="1:4" x14ac:dyDescent="0.25">
      <c r="A12" s="34" t="s">
        <v>12</v>
      </c>
      <c r="B12" s="35" t="s">
        <v>132</v>
      </c>
      <c r="C12" s="36"/>
      <c r="D12" s="35"/>
    </row>
    <row r="13" spans="1:4" x14ac:dyDescent="0.25">
      <c r="A13" s="34" t="s">
        <v>13</v>
      </c>
      <c r="B13" s="35" t="s">
        <v>133</v>
      </c>
      <c r="C13" s="36"/>
      <c r="D13" s="35"/>
    </row>
    <row r="14" spans="1:4" x14ac:dyDescent="0.25">
      <c r="A14" s="34" t="s">
        <v>14</v>
      </c>
      <c r="B14" s="35" t="s">
        <v>134</v>
      </c>
      <c r="C14" s="36"/>
      <c r="D14" s="35"/>
    </row>
    <row r="15" spans="1:4" x14ac:dyDescent="0.25">
      <c r="A15" s="34"/>
      <c r="B15" s="35"/>
      <c r="C15" s="36"/>
      <c r="D15" s="35"/>
    </row>
    <row r="16" spans="1:4" x14ac:dyDescent="0.25">
      <c r="A16" s="34" t="s">
        <v>137</v>
      </c>
      <c r="B16" s="35" t="s">
        <v>272</v>
      </c>
      <c r="C16" s="36"/>
      <c r="D1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indexed="10"/>
  </sheetPr>
  <dimension ref="A1:D12"/>
  <sheetViews>
    <sheetView workbookViewId="0">
      <selection activeCell="C11" sqref="C11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117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264</v>
      </c>
      <c r="C3" s="36">
        <v>0.9</v>
      </c>
      <c r="D3" s="35"/>
    </row>
    <row r="4" spans="1:4" x14ac:dyDescent="0.25">
      <c r="A4" s="34" t="s">
        <v>4</v>
      </c>
      <c r="B4" s="35" t="s">
        <v>265</v>
      </c>
      <c r="C4" s="36">
        <v>0.7</v>
      </c>
      <c r="D4" s="35"/>
    </row>
    <row r="5" spans="1:4" x14ac:dyDescent="0.25">
      <c r="A5" s="34" t="s">
        <v>5</v>
      </c>
      <c r="B5" s="35" t="s">
        <v>266</v>
      </c>
      <c r="C5" s="36">
        <v>0.5</v>
      </c>
      <c r="D5" s="35"/>
    </row>
    <row r="6" spans="1:4" x14ac:dyDescent="0.25">
      <c r="A6" s="34" t="s">
        <v>6</v>
      </c>
      <c r="B6" s="35" t="s">
        <v>271</v>
      </c>
      <c r="C6" s="36">
        <v>0.3</v>
      </c>
      <c r="D6" s="35"/>
    </row>
    <row r="7" spans="1:4" x14ac:dyDescent="0.25">
      <c r="A7" s="34" t="s">
        <v>7</v>
      </c>
      <c r="B7" s="35" t="s">
        <v>267</v>
      </c>
      <c r="C7" s="36">
        <v>0</v>
      </c>
      <c r="D7" s="35"/>
    </row>
    <row r="8" spans="1:4" x14ac:dyDescent="0.25">
      <c r="A8" s="34" t="s">
        <v>8</v>
      </c>
      <c r="B8" s="35" t="s">
        <v>268</v>
      </c>
      <c r="C8" s="36">
        <v>0</v>
      </c>
      <c r="D8" s="35"/>
    </row>
    <row r="9" spans="1:4" x14ac:dyDescent="0.25">
      <c r="A9" s="34" t="s">
        <v>9</v>
      </c>
      <c r="B9" s="35" t="s">
        <v>269</v>
      </c>
      <c r="C9" s="36">
        <v>0.4</v>
      </c>
      <c r="D9" s="35"/>
    </row>
    <row r="10" spans="1:4" x14ac:dyDescent="0.25">
      <c r="A10" s="34" t="s">
        <v>10</v>
      </c>
      <c r="B10" s="35" t="s">
        <v>270</v>
      </c>
      <c r="C10" s="36">
        <v>0.3</v>
      </c>
      <c r="D10" s="35"/>
    </row>
    <row r="11" spans="1:4" x14ac:dyDescent="0.25">
      <c r="A11" s="34"/>
      <c r="B11" s="35"/>
      <c r="C11" s="36"/>
      <c r="D11" s="35"/>
    </row>
    <row r="12" spans="1:4" x14ac:dyDescent="0.25">
      <c r="A12" s="34"/>
      <c r="B12" s="35"/>
      <c r="C12" s="36"/>
      <c r="D12" s="35"/>
    </row>
  </sheetData>
  <mergeCells count="1">
    <mergeCell ref="A1:D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indexed="10"/>
  </sheetPr>
  <dimension ref="A1:D35"/>
  <sheetViews>
    <sheetView workbookViewId="0">
      <selection activeCell="G34" sqref="G34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114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135</v>
      </c>
      <c r="C3" s="41">
        <v>0.01</v>
      </c>
      <c r="D3" s="35"/>
    </row>
    <row r="4" spans="1:4" x14ac:dyDescent="0.25">
      <c r="A4" s="34" t="s">
        <v>4</v>
      </c>
      <c r="B4" s="35" t="s">
        <v>136</v>
      </c>
      <c r="C4" s="41">
        <v>0.02</v>
      </c>
      <c r="D4" s="35"/>
    </row>
    <row r="5" spans="1:4" x14ac:dyDescent="0.25">
      <c r="A5" s="34" t="s">
        <v>5</v>
      </c>
      <c r="B5" s="35" t="s">
        <v>138</v>
      </c>
      <c r="C5" s="41">
        <v>0.03</v>
      </c>
      <c r="D5" s="35"/>
    </row>
    <row r="6" spans="1:4" x14ac:dyDescent="0.25">
      <c r="A6" s="34" t="s">
        <v>6</v>
      </c>
      <c r="B6" s="35" t="s">
        <v>139</v>
      </c>
      <c r="C6" s="41">
        <v>0.04</v>
      </c>
      <c r="D6" s="35"/>
    </row>
    <row r="7" spans="1:4" x14ac:dyDescent="0.25">
      <c r="A7" s="34" t="s">
        <v>7</v>
      </c>
      <c r="B7" s="35" t="s">
        <v>140</v>
      </c>
      <c r="C7" s="41">
        <v>0.05</v>
      </c>
      <c r="D7" s="35"/>
    </row>
    <row r="8" spans="1:4" x14ac:dyDescent="0.25">
      <c r="A8" s="34" t="s">
        <v>8</v>
      </c>
      <c r="B8" s="35" t="s">
        <v>141</v>
      </c>
      <c r="C8" s="41">
        <v>0.06</v>
      </c>
      <c r="D8" s="35"/>
    </row>
    <row r="9" spans="1:4" x14ac:dyDescent="0.25">
      <c r="A9" s="34" t="s">
        <v>9</v>
      </c>
      <c r="B9" s="35" t="s">
        <v>142</v>
      </c>
      <c r="C9" s="41">
        <v>7.0000000000000007E-2</v>
      </c>
      <c r="D9" s="35"/>
    </row>
    <row r="10" spans="1:4" x14ac:dyDescent="0.25">
      <c r="A10" s="34" t="s">
        <v>10</v>
      </c>
      <c r="B10" s="35" t="s">
        <v>143</v>
      </c>
      <c r="C10" s="41">
        <v>0.08</v>
      </c>
      <c r="D10" s="35"/>
    </row>
    <row r="11" spans="1:4" x14ac:dyDescent="0.25">
      <c r="A11" s="34" t="s">
        <v>11</v>
      </c>
      <c r="B11" s="35" t="s">
        <v>144</v>
      </c>
      <c r="C11" s="41">
        <v>0.09</v>
      </c>
      <c r="D11" s="35"/>
    </row>
    <row r="12" spans="1:4" x14ac:dyDescent="0.25">
      <c r="A12" s="34" t="s">
        <v>12</v>
      </c>
      <c r="B12" s="35" t="s">
        <v>145</v>
      </c>
      <c r="C12" s="41">
        <v>0.1</v>
      </c>
      <c r="D12" s="35"/>
    </row>
    <row r="13" spans="1:4" x14ac:dyDescent="0.25">
      <c r="A13" s="34" t="s">
        <v>13</v>
      </c>
      <c r="B13" s="35" t="s">
        <v>146</v>
      </c>
      <c r="C13" s="41">
        <v>0.11</v>
      </c>
      <c r="D13" s="35"/>
    </row>
    <row r="14" spans="1:4" x14ac:dyDescent="0.25">
      <c r="A14" s="34" t="s">
        <v>14</v>
      </c>
      <c r="B14" s="35" t="s">
        <v>147</v>
      </c>
      <c r="C14" s="41">
        <v>0.12</v>
      </c>
      <c r="D14" s="35"/>
    </row>
    <row r="15" spans="1:4" x14ac:dyDescent="0.25">
      <c r="A15" s="34" t="s">
        <v>31</v>
      </c>
      <c r="B15" s="35" t="s">
        <v>148</v>
      </c>
      <c r="C15" s="41">
        <v>0.13</v>
      </c>
      <c r="D15" s="35"/>
    </row>
    <row r="16" spans="1:4" x14ac:dyDescent="0.25">
      <c r="A16" s="34" t="s">
        <v>32</v>
      </c>
      <c r="B16" s="35" t="s">
        <v>149</v>
      </c>
      <c r="C16" s="41">
        <v>0.14000000000000001</v>
      </c>
      <c r="D16" s="35"/>
    </row>
    <row r="17" spans="1:4" x14ac:dyDescent="0.25">
      <c r="A17" s="34" t="s">
        <v>33</v>
      </c>
      <c r="B17" s="35" t="s">
        <v>150</v>
      </c>
      <c r="C17" s="41">
        <v>0.15</v>
      </c>
      <c r="D17" s="35"/>
    </row>
    <row r="18" spans="1:4" x14ac:dyDescent="0.25">
      <c r="A18" s="34" t="s">
        <v>34</v>
      </c>
      <c r="B18" s="35" t="s">
        <v>151</v>
      </c>
      <c r="C18" s="41">
        <v>0.16</v>
      </c>
      <c r="D18" s="35"/>
    </row>
    <row r="19" spans="1:4" x14ac:dyDescent="0.25">
      <c r="A19" s="34" t="s">
        <v>35</v>
      </c>
      <c r="B19" s="35" t="s">
        <v>152</v>
      </c>
      <c r="C19" s="41">
        <v>0.17</v>
      </c>
      <c r="D19" s="35"/>
    </row>
    <row r="20" spans="1:4" x14ac:dyDescent="0.25">
      <c r="A20" s="34" t="s">
        <v>36</v>
      </c>
      <c r="B20" s="35" t="s">
        <v>153</v>
      </c>
      <c r="C20" s="41">
        <v>0.18</v>
      </c>
      <c r="D20" s="35"/>
    </row>
    <row r="21" spans="1:4" x14ac:dyDescent="0.25">
      <c r="A21" s="34" t="s">
        <v>37</v>
      </c>
      <c r="B21" s="35" t="s">
        <v>154</v>
      </c>
      <c r="C21" s="41">
        <v>0.19</v>
      </c>
      <c r="D21" s="35"/>
    </row>
    <row r="22" spans="1:4" x14ac:dyDescent="0.25">
      <c r="A22" s="34" t="s">
        <v>38</v>
      </c>
      <c r="B22" s="35" t="s">
        <v>155</v>
      </c>
      <c r="C22" s="41">
        <v>0.2</v>
      </c>
      <c r="D22" s="35"/>
    </row>
    <row r="23" spans="1:4" x14ac:dyDescent="0.25">
      <c r="A23" s="34" t="s">
        <v>39</v>
      </c>
      <c r="B23" s="35" t="s">
        <v>156</v>
      </c>
      <c r="C23" s="41">
        <v>0.21</v>
      </c>
      <c r="D23" s="35"/>
    </row>
    <row r="24" spans="1:4" x14ac:dyDescent="0.25">
      <c r="A24" s="34" t="s">
        <v>40</v>
      </c>
      <c r="B24" s="35" t="s">
        <v>157</v>
      </c>
      <c r="C24" s="41">
        <v>0.22</v>
      </c>
      <c r="D24" s="35"/>
    </row>
    <row r="25" spans="1:4" x14ac:dyDescent="0.25">
      <c r="A25" s="34" t="s">
        <v>41</v>
      </c>
      <c r="B25" s="35" t="s">
        <v>158</v>
      </c>
      <c r="C25" s="41">
        <v>0.23</v>
      </c>
      <c r="D25" s="35"/>
    </row>
    <row r="26" spans="1:4" x14ac:dyDescent="0.25">
      <c r="A26" s="34" t="s">
        <v>42</v>
      </c>
      <c r="B26" s="35" t="s">
        <v>159</v>
      </c>
      <c r="C26" s="41">
        <v>0.24</v>
      </c>
      <c r="D26" s="35"/>
    </row>
    <row r="27" spans="1:4" x14ac:dyDescent="0.25">
      <c r="A27" s="34" t="s">
        <v>43</v>
      </c>
      <c r="B27" s="35" t="s">
        <v>160</v>
      </c>
      <c r="C27" s="41">
        <v>0.25</v>
      </c>
      <c r="D27" s="35"/>
    </row>
    <row r="28" spans="1:4" x14ac:dyDescent="0.25">
      <c r="A28" s="34" t="s">
        <v>44</v>
      </c>
      <c r="B28" s="35" t="s">
        <v>161</v>
      </c>
      <c r="C28" s="41">
        <v>0.26</v>
      </c>
      <c r="D28" s="35"/>
    </row>
    <row r="29" spans="1:4" x14ac:dyDescent="0.25">
      <c r="A29" s="34" t="s">
        <v>45</v>
      </c>
      <c r="B29" s="35" t="s">
        <v>162</v>
      </c>
      <c r="C29" s="41">
        <v>0.27</v>
      </c>
      <c r="D29" s="35"/>
    </row>
    <row r="30" spans="1:4" x14ac:dyDescent="0.25">
      <c r="A30" s="34" t="s">
        <v>46</v>
      </c>
      <c r="B30" s="35" t="s">
        <v>163</v>
      </c>
      <c r="C30" s="41">
        <v>0.28000000000000003</v>
      </c>
      <c r="D30" s="35"/>
    </row>
    <row r="31" spans="1:4" x14ac:dyDescent="0.25">
      <c r="A31" s="34" t="s">
        <v>47</v>
      </c>
      <c r="B31" s="35" t="s">
        <v>164</v>
      </c>
      <c r="C31" s="41">
        <v>0.28999999999999998</v>
      </c>
      <c r="D31" s="35"/>
    </row>
    <row r="32" spans="1:4" x14ac:dyDescent="0.25">
      <c r="A32" s="34" t="s">
        <v>48</v>
      </c>
      <c r="B32" s="35" t="s">
        <v>165</v>
      </c>
      <c r="C32" s="41">
        <v>0.3</v>
      </c>
      <c r="D32" s="35"/>
    </row>
    <row r="33" spans="1:4" x14ac:dyDescent="0.25">
      <c r="A33" s="34" t="s">
        <v>106</v>
      </c>
      <c r="B33" s="35" t="s">
        <v>166</v>
      </c>
      <c r="C33" s="41">
        <v>0.31</v>
      </c>
      <c r="D33" s="35"/>
    </row>
    <row r="34" spans="1:4" x14ac:dyDescent="0.25">
      <c r="A34" s="34" t="s">
        <v>113</v>
      </c>
      <c r="B34" s="35" t="s">
        <v>167</v>
      </c>
      <c r="C34" s="41">
        <v>0.32</v>
      </c>
      <c r="D34" s="35"/>
    </row>
    <row r="35" spans="1:4" x14ac:dyDescent="0.25">
      <c r="A35" s="34" t="s">
        <v>137</v>
      </c>
      <c r="B35" s="35" t="s">
        <v>168</v>
      </c>
      <c r="C35" s="41">
        <v>0</v>
      </c>
      <c r="D35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indexed="10"/>
  </sheetPr>
  <dimension ref="A1:D6"/>
  <sheetViews>
    <sheetView workbookViewId="0">
      <selection activeCell="D14" sqref="D14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203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204</v>
      </c>
      <c r="C3" s="41">
        <v>0.2</v>
      </c>
      <c r="D3" s="35"/>
    </row>
    <row r="4" spans="1:4" x14ac:dyDescent="0.25">
      <c r="A4" s="34" t="s">
        <v>11</v>
      </c>
      <c r="B4" s="35" t="s">
        <v>205</v>
      </c>
      <c r="C4" s="41">
        <v>0</v>
      </c>
      <c r="D4" s="35"/>
    </row>
    <row r="5" spans="1:4" x14ac:dyDescent="0.25">
      <c r="A5" s="34"/>
      <c r="B5" s="35"/>
      <c r="C5" s="36"/>
      <c r="D5" s="35"/>
    </row>
    <row r="6" spans="1:4" x14ac:dyDescent="0.25">
      <c r="A6" s="34"/>
      <c r="B6" s="35"/>
      <c r="C6" s="36"/>
      <c r="D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indexed="10"/>
  </sheetPr>
  <dimension ref="A1:D35"/>
  <sheetViews>
    <sheetView workbookViewId="0">
      <selection activeCell="B35" sqref="B35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6" t="s">
        <v>169</v>
      </c>
      <c r="B1" s="316"/>
      <c r="C1" s="316"/>
      <c r="D1" s="316"/>
    </row>
    <row r="2" spans="1:4" s="29" customFormat="1" x14ac:dyDescent="0.25">
      <c r="A2" s="29" t="s">
        <v>118</v>
      </c>
      <c r="B2" s="29" t="s">
        <v>119</v>
      </c>
      <c r="C2" s="29" t="s">
        <v>120</v>
      </c>
      <c r="D2" s="29" t="s">
        <v>101</v>
      </c>
    </row>
    <row r="3" spans="1:4" x14ac:dyDescent="0.25">
      <c r="A3" s="34" t="s">
        <v>3</v>
      </c>
      <c r="B3" s="35" t="s">
        <v>170</v>
      </c>
      <c r="C3" s="41">
        <v>0.01</v>
      </c>
      <c r="D3" s="35"/>
    </row>
    <row r="4" spans="1:4" x14ac:dyDescent="0.25">
      <c r="A4" s="34" t="s">
        <v>4</v>
      </c>
      <c r="B4" s="35" t="s">
        <v>171</v>
      </c>
      <c r="C4" s="41">
        <v>0.02</v>
      </c>
      <c r="D4" s="35"/>
    </row>
    <row r="5" spans="1:4" x14ac:dyDescent="0.25">
      <c r="A5" s="34" t="s">
        <v>5</v>
      </c>
      <c r="B5" s="35" t="s">
        <v>172</v>
      </c>
      <c r="C5" s="41">
        <v>0.03</v>
      </c>
      <c r="D5" s="35"/>
    </row>
    <row r="6" spans="1:4" x14ac:dyDescent="0.25">
      <c r="A6" s="34" t="s">
        <v>6</v>
      </c>
      <c r="B6" s="35" t="s">
        <v>173</v>
      </c>
      <c r="C6" s="41">
        <v>0.04</v>
      </c>
      <c r="D6" s="35"/>
    </row>
    <row r="7" spans="1:4" x14ac:dyDescent="0.25">
      <c r="A7" s="34" t="s">
        <v>7</v>
      </c>
      <c r="B7" s="35" t="s">
        <v>174</v>
      </c>
      <c r="C7" s="41">
        <v>0.05</v>
      </c>
      <c r="D7" s="35"/>
    </row>
    <row r="8" spans="1:4" x14ac:dyDescent="0.25">
      <c r="A8" s="34" t="s">
        <v>8</v>
      </c>
      <c r="B8" s="35" t="s">
        <v>175</v>
      </c>
      <c r="C8" s="41">
        <v>0.06</v>
      </c>
      <c r="D8" s="35"/>
    </row>
    <row r="9" spans="1:4" x14ac:dyDescent="0.25">
      <c r="A9" s="34" t="s">
        <v>9</v>
      </c>
      <c r="B9" s="35" t="s">
        <v>176</v>
      </c>
      <c r="C9" s="41">
        <v>7.0000000000000007E-2</v>
      </c>
      <c r="D9" s="35"/>
    </row>
    <row r="10" spans="1:4" x14ac:dyDescent="0.25">
      <c r="A10" s="34" t="s">
        <v>10</v>
      </c>
      <c r="B10" s="35" t="s">
        <v>177</v>
      </c>
      <c r="C10" s="41">
        <v>0.08</v>
      </c>
      <c r="D10" s="35"/>
    </row>
    <row r="11" spans="1:4" x14ac:dyDescent="0.25">
      <c r="A11" s="34" t="s">
        <v>11</v>
      </c>
      <c r="B11" s="35" t="s">
        <v>178</v>
      </c>
      <c r="C11" s="41">
        <v>0.09</v>
      </c>
      <c r="D11" s="35"/>
    </row>
    <row r="12" spans="1:4" x14ac:dyDescent="0.25">
      <c r="A12" s="34" t="s">
        <v>12</v>
      </c>
      <c r="B12" s="35" t="s">
        <v>179</v>
      </c>
      <c r="C12" s="41">
        <v>0.1</v>
      </c>
      <c r="D12" s="35"/>
    </row>
    <row r="13" spans="1:4" x14ac:dyDescent="0.25">
      <c r="A13" s="34" t="s">
        <v>13</v>
      </c>
      <c r="B13" s="35" t="s">
        <v>180</v>
      </c>
      <c r="C13" s="41">
        <v>0.11</v>
      </c>
      <c r="D13" s="35"/>
    </row>
    <row r="14" spans="1:4" x14ac:dyDescent="0.25">
      <c r="A14" s="34" t="s">
        <v>14</v>
      </c>
      <c r="B14" s="35" t="s">
        <v>181</v>
      </c>
      <c r="C14" s="41">
        <v>0.12</v>
      </c>
      <c r="D14" s="35"/>
    </row>
    <row r="15" spans="1:4" x14ac:dyDescent="0.25">
      <c r="A15" s="34" t="s">
        <v>31</v>
      </c>
      <c r="B15" s="35" t="s">
        <v>182</v>
      </c>
      <c r="C15" s="41">
        <v>0.13</v>
      </c>
      <c r="D15" s="35"/>
    </row>
    <row r="16" spans="1:4" x14ac:dyDescent="0.25">
      <c r="A16" s="34" t="s">
        <v>32</v>
      </c>
      <c r="B16" s="35" t="s">
        <v>183</v>
      </c>
      <c r="C16" s="41">
        <v>0.14000000000000001</v>
      </c>
      <c r="D16" s="35"/>
    </row>
    <row r="17" spans="1:4" x14ac:dyDescent="0.25">
      <c r="A17" s="34" t="s">
        <v>33</v>
      </c>
      <c r="B17" s="35" t="s">
        <v>184</v>
      </c>
      <c r="C17" s="41">
        <v>0.15</v>
      </c>
      <c r="D17" s="35"/>
    </row>
    <row r="18" spans="1:4" x14ac:dyDescent="0.25">
      <c r="A18" s="34" t="s">
        <v>34</v>
      </c>
      <c r="B18" s="35" t="s">
        <v>185</v>
      </c>
      <c r="C18" s="41">
        <v>0.16</v>
      </c>
      <c r="D18" s="35"/>
    </row>
    <row r="19" spans="1:4" x14ac:dyDescent="0.25">
      <c r="A19" s="34" t="s">
        <v>35</v>
      </c>
      <c r="B19" s="35" t="s">
        <v>199</v>
      </c>
      <c r="C19" s="41">
        <v>0.17</v>
      </c>
      <c r="D19" s="35"/>
    </row>
    <row r="20" spans="1:4" x14ac:dyDescent="0.25">
      <c r="A20" s="34" t="s">
        <v>36</v>
      </c>
      <c r="B20" s="35" t="s">
        <v>186</v>
      </c>
      <c r="C20" s="41">
        <v>0.18</v>
      </c>
      <c r="D20" s="35"/>
    </row>
    <row r="21" spans="1:4" x14ac:dyDescent="0.25">
      <c r="A21" s="34" t="s">
        <v>37</v>
      </c>
      <c r="B21" s="35" t="s">
        <v>187</v>
      </c>
      <c r="C21" s="41">
        <v>0.19</v>
      </c>
      <c r="D21" s="35"/>
    </row>
    <row r="22" spans="1:4" x14ac:dyDescent="0.25">
      <c r="A22" s="34" t="s">
        <v>38</v>
      </c>
      <c r="B22" s="35" t="s">
        <v>188</v>
      </c>
      <c r="C22" s="41">
        <v>0.2</v>
      </c>
      <c r="D22" s="35"/>
    </row>
    <row r="23" spans="1:4" x14ac:dyDescent="0.25">
      <c r="A23" s="34" t="s">
        <v>39</v>
      </c>
      <c r="B23" s="35" t="s">
        <v>189</v>
      </c>
      <c r="C23" s="41">
        <v>0.21</v>
      </c>
      <c r="D23" s="35"/>
    </row>
    <row r="24" spans="1:4" x14ac:dyDescent="0.25">
      <c r="A24" s="34" t="s">
        <v>40</v>
      </c>
      <c r="B24" s="35" t="s">
        <v>190</v>
      </c>
      <c r="C24" s="41">
        <v>0.22</v>
      </c>
      <c r="D24" s="35"/>
    </row>
    <row r="25" spans="1:4" x14ac:dyDescent="0.25">
      <c r="A25" s="34" t="s">
        <v>41</v>
      </c>
      <c r="B25" s="35" t="s">
        <v>200</v>
      </c>
      <c r="C25" s="41">
        <v>0.23</v>
      </c>
      <c r="D25" s="35"/>
    </row>
    <row r="26" spans="1:4" x14ac:dyDescent="0.25">
      <c r="A26" s="34" t="s">
        <v>42</v>
      </c>
      <c r="B26" s="35" t="s">
        <v>191</v>
      </c>
      <c r="C26" s="41">
        <v>0.24</v>
      </c>
      <c r="D26" s="35"/>
    </row>
    <row r="27" spans="1:4" x14ac:dyDescent="0.25">
      <c r="A27" s="34" t="s">
        <v>43</v>
      </c>
      <c r="B27" s="35" t="s">
        <v>192</v>
      </c>
      <c r="C27" s="41">
        <v>0.25</v>
      </c>
      <c r="D27" s="35"/>
    </row>
    <row r="28" spans="1:4" x14ac:dyDescent="0.25">
      <c r="A28" s="34" t="s">
        <v>44</v>
      </c>
      <c r="B28" s="35" t="s">
        <v>193</v>
      </c>
      <c r="C28" s="41">
        <v>0.26</v>
      </c>
      <c r="D28" s="35"/>
    </row>
    <row r="29" spans="1:4" x14ac:dyDescent="0.25">
      <c r="A29" s="34" t="s">
        <v>45</v>
      </c>
      <c r="B29" s="35" t="s">
        <v>194</v>
      </c>
      <c r="C29" s="41">
        <v>0.27</v>
      </c>
      <c r="D29" s="35"/>
    </row>
    <row r="30" spans="1:4" x14ac:dyDescent="0.25">
      <c r="A30" s="34" t="s">
        <v>46</v>
      </c>
      <c r="B30" s="35" t="s">
        <v>201</v>
      </c>
      <c r="C30" s="41">
        <v>0.28000000000000003</v>
      </c>
      <c r="D30" s="35"/>
    </row>
    <row r="31" spans="1:4" x14ac:dyDescent="0.25">
      <c r="A31" s="34" t="s">
        <v>47</v>
      </c>
      <c r="B31" s="35" t="s">
        <v>195</v>
      </c>
      <c r="C31" s="41">
        <v>0.28999999999999998</v>
      </c>
      <c r="D31" s="35"/>
    </row>
    <row r="32" spans="1:4" x14ac:dyDescent="0.25">
      <c r="A32" s="34" t="s">
        <v>48</v>
      </c>
      <c r="B32" s="35" t="s">
        <v>196</v>
      </c>
      <c r="C32" s="41">
        <v>0.3</v>
      </c>
      <c r="D32" s="35"/>
    </row>
    <row r="33" spans="1:4" x14ac:dyDescent="0.25">
      <c r="A33" s="34" t="s">
        <v>106</v>
      </c>
      <c r="B33" s="35" t="s">
        <v>197</v>
      </c>
      <c r="C33" s="41">
        <v>0.31</v>
      </c>
      <c r="D33" s="35"/>
    </row>
    <row r="34" spans="1:4" x14ac:dyDescent="0.25">
      <c r="A34" s="34" t="s">
        <v>113</v>
      </c>
      <c r="B34" s="35" t="s">
        <v>202</v>
      </c>
      <c r="C34" s="41">
        <v>0.32</v>
      </c>
      <c r="D34" s="35"/>
    </row>
    <row r="35" spans="1:4" x14ac:dyDescent="0.25">
      <c r="A35" s="34" t="s">
        <v>137</v>
      </c>
      <c r="B35" s="35" t="s">
        <v>198</v>
      </c>
      <c r="C35" s="41">
        <v>0</v>
      </c>
      <c r="D35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indexed="10"/>
  </sheetPr>
  <dimension ref="A1:D7"/>
  <sheetViews>
    <sheetView workbookViewId="0">
      <selection activeCell="I32" sqref="I32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206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207</v>
      </c>
      <c r="C3" s="41">
        <v>0.2</v>
      </c>
      <c r="D3" s="35"/>
    </row>
    <row r="4" spans="1:4" x14ac:dyDescent="0.25">
      <c r="A4" s="34" t="s">
        <v>4</v>
      </c>
      <c r="B4" s="35" t="s">
        <v>207</v>
      </c>
      <c r="C4" s="41">
        <v>0.1</v>
      </c>
      <c r="D4" s="35"/>
    </row>
    <row r="5" spans="1:4" x14ac:dyDescent="0.25">
      <c r="A5" s="34" t="s">
        <v>11</v>
      </c>
      <c r="B5" s="35" t="s">
        <v>208</v>
      </c>
      <c r="C5" s="41">
        <v>0</v>
      </c>
      <c r="D5" s="35"/>
    </row>
    <row r="6" spans="1:4" x14ac:dyDescent="0.25">
      <c r="A6" s="34"/>
      <c r="B6" s="35"/>
      <c r="C6" s="36"/>
      <c r="D6" s="35"/>
    </row>
    <row r="7" spans="1:4" x14ac:dyDescent="0.25">
      <c r="A7" s="34"/>
      <c r="B7" s="35"/>
      <c r="C7" s="36"/>
      <c r="D7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indexed="10"/>
  </sheetPr>
  <dimension ref="A1:D7"/>
  <sheetViews>
    <sheetView workbookViewId="0">
      <selection activeCell="D23" sqref="D23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209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211</v>
      </c>
      <c r="C3" s="41">
        <v>0.2</v>
      </c>
      <c r="D3" s="35"/>
    </row>
    <row r="4" spans="1:4" x14ac:dyDescent="0.25">
      <c r="A4" s="34" t="s">
        <v>4</v>
      </c>
      <c r="B4" s="35" t="s">
        <v>210</v>
      </c>
      <c r="C4" s="41">
        <v>0.4</v>
      </c>
      <c r="D4" s="35"/>
    </row>
    <row r="5" spans="1:4" x14ac:dyDescent="0.25">
      <c r="A5" s="34" t="s">
        <v>11</v>
      </c>
      <c r="B5" s="35" t="s">
        <v>212</v>
      </c>
      <c r="C5" s="41">
        <v>0</v>
      </c>
      <c r="D5" s="35"/>
    </row>
    <row r="6" spans="1:4" x14ac:dyDescent="0.25">
      <c r="A6" s="34"/>
      <c r="B6" s="35"/>
      <c r="C6" s="36"/>
      <c r="D6" s="35"/>
    </row>
    <row r="7" spans="1:4" x14ac:dyDescent="0.25">
      <c r="A7" s="34"/>
      <c r="B7" s="35"/>
      <c r="C7" s="36"/>
      <c r="D7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indexed="10"/>
  </sheetPr>
  <dimension ref="A1:D7"/>
  <sheetViews>
    <sheetView workbookViewId="0">
      <selection activeCell="D9" sqref="D9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213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244</v>
      </c>
      <c r="C3" s="41">
        <v>0.1</v>
      </c>
      <c r="D3" s="35"/>
    </row>
    <row r="4" spans="1:4" x14ac:dyDescent="0.25">
      <c r="A4" s="34" t="s">
        <v>4</v>
      </c>
      <c r="B4" s="35" t="s">
        <v>244</v>
      </c>
      <c r="C4" s="41">
        <v>0.3</v>
      </c>
      <c r="D4" s="35"/>
    </row>
    <row r="5" spans="1:4" x14ac:dyDescent="0.25">
      <c r="A5" s="34" t="s">
        <v>11</v>
      </c>
      <c r="B5" s="35" t="s">
        <v>245</v>
      </c>
      <c r="C5" s="41">
        <v>0</v>
      </c>
      <c r="D5" s="35"/>
    </row>
    <row r="6" spans="1:4" x14ac:dyDescent="0.25">
      <c r="A6" s="34"/>
      <c r="B6" s="35"/>
      <c r="C6" s="36"/>
      <c r="D6" s="35"/>
    </row>
    <row r="7" spans="1:4" x14ac:dyDescent="0.25">
      <c r="A7" s="34"/>
      <c r="B7" s="35"/>
      <c r="C7" s="36"/>
      <c r="D7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2"/>
  </sheetPr>
  <dimension ref="A1:N19"/>
  <sheetViews>
    <sheetView workbookViewId="0">
      <selection activeCell="I16" sqref="I16"/>
    </sheetView>
  </sheetViews>
  <sheetFormatPr defaultColWidth="9.109375" defaultRowHeight="13.2" x14ac:dyDescent="0.25"/>
  <cols>
    <col min="1" max="1" width="9.109375" style="14"/>
    <col min="2" max="2" width="21.88671875" style="1" customWidth="1"/>
    <col min="3" max="3" width="16.88671875" style="1" customWidth="1"/>
    <col min="4" max="4" width="12.88671875" style="1" customWidth="1"/>
    <col min="5" max="5" width="15.33203125" style="1" customWidth="1"/>
    <col min="6" max="6" width="23.5546875" style="1" customWidth="1"/>
    <col min="7" max="7" width="5.6640625" style="1" customWidth="1"/>
    <col min="8" max="8" width="7.33203125" style="1" customWidth="1"/>
    <col min="9" max="10" width="6" style="1" customWidth="1"/>
    <col min="11" max="11" width="5.5546875" style="1" customWidth="1"/>
    <col min="12" max="12" width="12" style="1" customWidth="1"/>
    <col min="13" max="13" width="13.5546875" style="1" customWidth="1"/>
    <col min="14" max="14" width="13.33203125" style="1" customWidth="1"/>
    <col min="15" max="16384" width="9.109375" style="1"/>
  </cols>
  <sheetData>
    <row r="1" spans="1:14" s="15" customFormat="1" ht="12.75" customHeight="1" x14ac:dyDescent="0.25">
      <c r="A1" s="252" t="s">
        <v>27</v>
      </c>
      <c r="B1" s="252"/>
      <c r="C1" s="252"/>
      <c r="D1" s="251" t="s">
        <v>29</v>
      </c>
      <c r="E1" s="251"/>
      <c r="F1" s="251"/>
      <c r="G1" s="20"/>
      <c r="H1" s="20"/>
      <c r="I1" s="20"/>
      <c r="J1" s="20"/>
      <c r="K1" s="20"/>
      <c r="L1" s="20"/>
      <c r="M1" s="20"/>
      <c r="N1" s="20"/>
    </row>
    <row r="2" spans="1:14" s="15" customFormat="1" ht="12.75" customHeight="1" x14ac:dyDescent="0.25">
      <c r="A2" s="252" t="s">
        <v>28</v>
      </c>
      <c r="B2" s="252"/>
      <c r="C2" s="252"/>
      <c r="D2" s="251" t="s">
        <v>30</v>
      </c>
      <c r="E2" s="251"/>
      <c r="F2" s="251"/>
      <c r="G2" s="20"/>
      <c r="H2" s="20"/>
      <c r="I2" s="20"/>
      <c r="J2" s="20"/>
      <c r="K2" s="20"/>
      <c r="L2" s="20"/>
      <c r="M2" s="20"/>
      <c r="N2" s="20"/>
    </row>
    <row r="3" spans="1:14" s="15" customFormat="1" ht="34.5" customHeight="1" x14ac:dyDescent="0.25">
      <c r="A3" s="267" t="s">
        <v>351</v>
      </c>
      <c r="B3" s="267"/>
      <c r="C3" s="267"/>
      <c r="D3" s="267"/>
      <c r="E3" s="267"/>
      <c r="F3" s="267"/>
    </row>
    <row r="4" spans="1:14" s="15" customFormat="1" ht="22.95" customHeight="1" x14ac:dyDescent="0.25">
      <c r="A4" s="265" t="str">
        <f>thang</f>
        <v>Tháng 7 Năm 2019</v>
      </c>
      <c r="B4" s="265"/>
      <c r="C4" s="265"/>
      <c r="D4" s="265"/>
      <c r="E4" s="265"/>
      <c r="F4" s="265"/>
    </row>
    <row r="5" spans="1:14" s="2" customFormat="1" ht="26.4" x14ac:dyDescent="0.25">
      <c r="A5" s="89" t="s">
        <v>68</v>
      </c>
      <c r="B5" s="11" t="s">
        <v>22</v>
      </c>
      <c r="C5" s="11" t="s">
        <v>24</v>
      </c>
      <c r="D5" s="11" t="s">
        <v>97</v>
      </c>
      <c r="E5" s="11" t="s">
        <v>76</v>
      </c>
      <c r="F5" s="11" t="s">
        <v>98</v>
      </c>
    </row>
    <row r="6" spans="1:14" ht="17.25" customHeight="1" x14ac:dyDescent="0.25">
      <c r="A6" s="8" t="s">
        <v>258</v>
      </c>
      <c r="B6" s="16" t="str">
        <f>VLOOKUP(makhoanviec,nhanvien,2,FALSE)</f>
        <v>Nguyễn Minh Phương</v>
      </c>
      <c r="C6" s="16" t="str">
        <f>VLOOKUP(makhoanviec,nhanvien,7,FALSE)</f>
        <v>NV</v>
      </c>
      <c r="D6" s="17">
        <v>1</v>
      </c>
      <c r="E6" s="17">
        <f>VLOOKUP(makhoanviec,nhanvien,29,FALSE)</f>
        <v>300000</v>
      </c>
      <c r="F6" s="90">
        <f>D6*E6</f>
        <v>300000</v>
      </c>
    </row>
    <row r="7" spans="1:14" s="3" customFormat="1" ht="17.25" customHeight="1" x14ac:dyDescent="0.25">
      <c r="A7" s="21"/>
      <c r="B7" s="91"/>
      <c r="C7" s="92" t="s">
        <v>49</v>
      </c>
      <c r="D7" s="208"/>
      <c r="E7" s="93"/>
      <c r="F7" s="12">
        <f>SUM(F6:F6)</f>
        <v>300000</v>
      </c>
    </row>
    <row r="9" spans="1:14" x14ac:dyDescent="0.25">
      <c r="B9" s="266"/>
      <c r="C9" s="266"/>
      <c r="D9" s="266"/>
      <c r="E9" s="266"/>
      <c r="F9" s="266"/>
    </row>
    <row r="10" spans="1:14" s="2" customFormat="1" x14ac:dyDescent="0.25">
      <c r="A10" s="14"/>
      <c r="E10" s="256" t="str">
        <f>ngay</f>
        <v>Tây Ninh, ngày 01 tháng 7 năm 2019</v>
      </c>
      <c r="F10" s="256"/>
    </row>
    <row r="11" spans="1:14" s="15" customFormat="1" x14ac:dyDescent="0.25">
      <c r="A11" s="88"/>
      <c r="B11" s="15" t="s">
        <v>72</v>
      </c>
      <c r="C11" s="251" t="s">
        <v>73</v>
      </c>
      <c r="D11" s="251"/>
      <c r="E11" s="251" t="s">
        <v>352</v>
      </c>
      <c r="F11" s="251"/>
    </row>
    <row r="19" spans="2:6" x14ac:dyDescent="0.25">
      <c r="B19" s="28" t="str">
        <f>lb_1</f>
        <v>Nguyễn Thị Thu Lan</v>
      </c>
      <c r="C19" s="261" t="str">
        <f>lb_2</f>
        <v>Nguyễn Văn Cường</v>
      </c>
      <c r="D19" s="261"/>
      <c r="E19" s="257">
        <f>lb_3</f>
        <v>0</v>
      </c>
      <c r="F19" s="257"/>
    </row>
  </sheetData>
  <mergeCells count="12">
    <mergeCell ref="A1:C1"/>
    <mergeCell ref="A2:C2"/>
    <mergeCell ref="D1:F1"/>
    <mergeCell ref="D2:F2"/>
    <mergeCell ref="A3:F3"/>
    <mergeCell ref="A4:F4"/>
    <mergeCell ref="C19:D19"/>
    <mergeCell ref="E19:F19"/>
    <mergeCell ref="B9:F9"/>
    <mergeCell ref="E10:F10"/>
    <mergeCell ref="C11:D11"/>
    <mergeCell ref="E11:F11"/>
  </mergeCells>
  <phoneticPr fontId="3" type="noConversion"/>
  <pageMargins left="0.2" right="0.2" top="1" bottom="1" header="0.5" footer="0.5"/>
  <pageSetup paperSize="9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indexed="10"/>
  </sheetPr>
  <dimension ref="A1:D7"/>
  <sheetViews>
    <sheetView workbookViewId="0">
      <selection activeCell="D65499" sqref="D65499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1" customWidth="1"/>
    <col min="4" max="4" width="27" customWidth="1"/>
  </cols>
  <sheetData>
    <row r="1" spans="1:4" s="29" customFormat="1" x14ac:dyDescent="0.25">
      <c r="A1" s="316" t="s">
        <v>112</v>
      </c>
      <c r="B1" s="316"/>
      <c r="C1" s="316"/>
      <c r="D1" s="316"/>
    </row>
    <row r="2" spans="1:4" s="29" customFormat="1" x14ac:dyDescent="0.25">
      <c r="A2" s="29" t="s">
        <v>118</v>
      </c>
      <c r="B2" s="29" t="s">
        <v>119</v>
      </c>
      <c r="C2" s="29" t="s">
        <v>120</v>
      </c>
      <c r="D2" s="29" t="s">
        <v>101</v>
      </c>
    </row>
    <row r="3" spans="1:4" x14ac:dyDescent="0.25">
      <c r="A3" s="30" t="s">
        <v>3</v>
      </c>
      <c r="B3" t="s">
        <v>215</v>
      </c>
      <c r="C3" s="31">
        <v>300000</v>
      </c>
    </row>
    <row r="4" spans="1:4" x14ac:dyDescent="0.25">
      <c r="A4" s="30" t="s">
        <v>4</v>
      </c>
      <c r="B4" t="s">
        <v>215</v>
      </c>
      <c r="C4" s="31">
        <v>700000</v>
      </c>
    </row>
    <row r="5" spans="1:4" x14ac:dyDescent="0.25">
      <c r="A5" s="30" t="s">
        <v>5</v>
      </c>
      <c r="B5" t="s">
        <v>215</v>
      </c>
      <c r="C5" s="31">
        <v>1200000</v>
      </c>
    </row>
    <row r="6" spans="1:4" x14ac:dyDescent="0.25">
      <c r="A6" s="30" t="s">
        <v>6</v>
      </c>
      <c r="B6" t="s">
        <v>273</v>
      </c>
      <c r="C6" s="31">
        <v>1000000</v>
      </c>
    </row>
    <row r="7" spans="1:4" x14ac:dyDescent="0.25">
      <c r="A7" s="30" t="s">
        <v>11</v>
      </c>
      <c r="B7" t="s">
        <v>216</v>
      </c>
      <c r="C7" s="31">
        <v>0</v>
      </c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indexed="10"/>
  </sheetPr>
  <dimension ref="A1:D6"/>
  <sheetViews>
    <sheetView workbookViewId="0">
      <selection activeCell="D11" sqref="D11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213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213</v>
      </c>
      <c r="C3" s="41">
        <v>0.1</v>
      </c>
      <c r="D3" s="35"/>
    </row>
    <row r="4" spans="1:4" x14ac:dyDescent="0.25">
      <c r="A4" s="34" t="s">
        <v>11</v>
      </c>
      <c r="B4" s="35" t="s">
        <v>214</v>
      </c>
      <c r="C4" s="41">
        <v>0</v>
      </c>
      <c r="D4" s="35"/>
    </row>
    <row r="5" spans="1:4" x14ac:dyDescent="0.25">
      <c r="A5" s="34"/>
      <c r="B5" s="35"/>
      <c r="C5" s="36"/>
      <c r="D5" s="35"/>
    </row>
    <row r="6" spans="1:4" x14ac:dyDescent="0.25">
      <c r="A6" s="34"/>
      <c r="B6" s="35"/>
      <c r="C6" s="36"/>
      <c r="D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indexed="10"/>
  </sheetPr>
  <dimension ref="A1:D6"/>
  <sheetViews>
    <sheetView workbookViewId="0">
      <selection activeCell="G17" sqref="G17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213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289</v>
      </c>
      <c r="C3" s="41">
        <v>0</v>
      </c>
      <c r="D3" s="35"/>
    </row>
    <row r="4" spans="1:4" x14ac:dyDescent="0.25">
      <c r="A4" s="34" t="s">
        <v>11</v>
      </c>
      <c r="B4" s="35" t="s">
        <v>214</v>
      </c>
      <c r="C4" s="41">
        <v>0</v>
      </c>
      <c r="D4" s="35"/>
    </row>
    <row r="5" spans="1:4" x14ac:dyDescent="0.25">
      <c r="A5" s="34"/>
      <c r="B5" s="35"/>
      <c r="C5" s="36"/>
      <c r="D5" s="35"/>
    </row>
    <row r="6" spans="1:4" x14ac:dyDescent="0.25">
      <c r="A6" s="34"/>
      <c r="B6" s="35"/>
      <c r="C6" s="36"/>
      <c r="D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indexed="10"/>
  </sheetPr>
  <dimension ref="A1:D8"/>
  <sheetViews>
    <sheetView workbookViewId="0">
      <selection activeCell="D11" sqref="D11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15" t="s">
        <v>213</v>
      </c>
      <c r="B1" s="315"/>
      <c r="C1" s="315"/>
      <c r="D1" s="315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290</v>
      </c>
      <c r="C3" s="41">
        <v>0</v>
      </c>
      <c r="D3" s="35"/>
    </row>
    <row r="4" spans="1:4" x14ac:dyDescent="0.25">
      <c r="A4" s="34" t="s">
        <v>4</v>
      </c>
      <c r="B4" s="35" t="s">
        <v>293</v>
      </c>
      <c r="C4" s="41">
        <v>0</v>
      </c>
      <c r="D4" s="35"/>
    </row>
    <row r="5" spans="1:4" x14ac:dyDescent="0.25">
      <c r="A5" s="34" t="s">
        <v>5</v>
      </c>
      <c r="B5" s="35" t="s">
        <v>294</v>
      </c>
      <c r="C5" s="41">
        <v>0</v>
      </c>
      <c r="D5" s="35"/>
    </row>
    <row r="6" spans="1:4" x14ac:dyDescent="0.25">
      <c r="A6" s="34" t="s">
        <v>11</v>
      </c>
      <c r="B6" s="35" t="s">
        <v>291</v>
      </c>
      <c r="C6" s="41">
        <v>0</v>
      </c>
      <c r="D6" s="35"/>
    </row>
    <row r="7" spans="1:4" x14ac:dyDescent="0.25">
      <c r="A7" s="34"/>
      <c r="B7" s="35"/>
      <c r="C7" s="36"/>
      <c r="D7" s="35"/>
    </row>
    <row r="8" spans="1:4" x14ac:dyDescent="0.25">
      <c r="A8" s="34"/>
      <c r="B8" s="35"/>
      <c r="C8" s="36"/>
      <c r="D8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indexed="37"/>
  </sheetPr>
  <dimension ref="A1:G5"/>
  <sheetViews>
    <sheetView workbookViewId="0">
      <selection activeCell="C8" sqref="C8"/>
    </sheetView>
  </sheetViews>
  <sheetFormatPr defaultColWidth="9.109375" defaultRowHeight="13.2" x14ac:dyDescent="0.25"/>
  <cols>
    <col min="1" max="1" width="32.109375" style="81" customWidth="1"/>
    <col min="2" max="6" width="17.88671875" style="81" customWidth="1"/>
    <col min="7" max="7" width="12.88671875" style="81" bestFit="1" customWidth="1"/>
    <col min="8" max="8" width="15.5546875" style="81" bestFit="1" customWidth="1"/>
    <col min="9" max="16384" width="9.109375" style="81"/>
  </cols>
  <sheetData>
    <row r="1" spans="1:7" s="82" customFormat="1" x14ac:dyDescent="0.25">
      <c r="A1" s="317" t="s">
        <v>295</v>
      </c>
      <c r="B1" s="317" t="s">
        <v>322</v>
      </c>
      <c r="C1" s="317"/>
      <c r="D1" s="317"/>
      <c r="E1" s="317"/>
      <c r="F1" s="317"/>
      <c r="G1" s="317"/>
    </row>
    <row r="2" spans="1:7" s="82" customFormat="1" x14ac:dyDescent="0.25">
      <c r="A2" s="317"/>
      <c r="B2" s="82" t="s">
        <v>308</v>
      </c>
      <c r="C2" s="82" t="s">
        <v>325</v>
      </c>
      <c r="D2" s="82" t="s">
        <v>326</v>
      </c>
      <c r="F2" s="82" t="s">
        <v>327</v>
      </c>
      <c r="G2" s="82" t="s">
        <v>328</v>
      </c>
    </row>
    <row r="3" spans="1:7" x14ac:dyDescent="0.25">
      <c r="A3" s="81" t="s">
        <v>323</v>
      </c>
      <c r="B3" s="81" t="e">
        <f>SUM(C3:G3)</f>
        <v>#REF!</v>
      </c>
      <c r="C3" s="81">
        <v>1400000000</v>
      </c>
      <c r="D3" s="81" t="e">
        <f>1496173000-E3</f>
        <v>#REF!</v>
      </c>
      <c r="E3" s="81" t="e">
        <f>E4</f>
        <v>#REF!</v>
      </c>
      <c r="F3" s="81">
        <v>4293127000</v>
      </c>
      <c r="G3" s="81">
        <v>71200000</v>
      </c>
    </row>
    <row r="4" spans="1:7" x14ac:dyDescent="0.25">
      <c r="A4" s="81" t="s">
        <v>324</v>
      </c>
      <c r="B4" s="81" t="e">
        <f>SUM(C4:G4)</f>
        <v>#REF!</v>
      </c>
      <c r="C4" s="81" t="e">
        <f>#REF!</f>
        <v>#REF!</v>
      </c>
      <c r="D4" s="81" t="e">
        <f>#REF!+0.2208</f>
        <v>#REF!</v>
      </c>
      <c r="E4" s="81" t="e">
        <f>#REF!</f>
        <v>#REF!</v>
      </c>
      <c r="F4" s="81" t="e">
        <f>#REF!-G4-0.016</f>
        <v>#REF!</v>
      </c>
      <c r="G4" s="81" t="e">
        <f>#REF!</f>
        <v>#REF!</v>
      </c>
    </row>
    <row r="5" spans="1:7" s="83" customFormat="1" x14ac:dyDescent="0.25">
      <c r="A5" s="83" t="s">
        <v>329</v>
      </c>
      <c r="B5" s="83" t="e">
        <f>SUM(C5:G5)</f>
        <v>#REF!</v>
      </c>
      <c r="C5" s="83" t="e">
        <f>C3-C4</f>
        <v>#REF!</v>
      </c>
      <c r="D5" s="83" t="e">
        <f>D3-D4</f>
        <v>#REF!</v>
      </c>
      <c r="E5" s="83" t="e">
        <f>E3-E4</f>
        <v>#REF!</v>
      </c>
      <c r="F5" s="83" t="e">
        <f>F3-F4</f>
        <v>#REF!</v>
      </c>
      <c r="G5" s="83" t="e">
        <f>G3-G4</f>
        <v>#REF!</v>
      </c>
    </row>
  </sheetData>
  <mergeCells count="2">
    <mergeCell ref="B1:G1"/>
    <mergeCell ref="A1:A2"/>
  </mergeCells>
  <phoneticPr fontId="3" type="noConversion"/>
  <pageMargins left="0.75" right="0.75" top="1" bottom="1" header="0.5" footer="0.5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</sheetPr>
  <dimension ref="A1:T21"/>
  <sheetViews>
    <sheetView workbookViewId="0">
      <selection activeCell="E8" sqref="E8"/>
    </sheetView>
  </sheetViews>
  <sheetFormatPr defaultColWidth="9.109375" defaultRowHeight="13.2" x14ac:dyDescent="0.25"/>
  <cols>
    <col min="1" max="1" width="5" style="1" customWidth="1"/>
    <col min="2" max="2" width="17" style="1" customWidth="1"/>
    <col min="3" max="3" width="7.88671875" style="1" customWidth="1"/>
    <col min="4" max="4" width="5.88671875" style="1" customWidth="1"/>
    <col min="5" max="5" width="6.33203125" style="1" customWidth="1"/>
    <col min="6" max="6" width="5.109375" style="1" customWidth="1"/>
    <col min="7" max="7" width="6.5546875" style="1" customWidth="1"/>
    <col min="8" max="8" width="5.109375" style="1" customWidth="1"/>
    <col min="9" max="9" width="6.5546875" style="1" customWidth="1"/>
    <col min="10" max="10" width="5" style="1" customWidth="1"/>
    <col min="11" max="11" width="7" style="1" customWidth="1"/>
    <col min="12" max="12" width="5" style="1" customWidth="1"/>
    <col min="13" max="13" width="10.88671875" style="1" customWidth="1"/>
    <col min="14" max="14" width="9" style="1" customWidth="1"/>
    <col min="15" max="15" width="8" style="1" customWidth="1"/>
    <col min="16" max="16" width="9.33203125" style="1" customWidth="1"/>
    <col min="17" max="17" width="10.44140625" style="1" customWidth="1"/>
    <col min="18" max="18" width="6.109375" style="1" customWidth="1"/>
    <col min="19" max="19" width="9.109375" style="1"/>
    <col min="20" max="20" width="9.88671875" style="1" bestFit="1" customWidth="1"/>
    <col min="21" max="16384" width="9.109375" style="1"/>
  </cols>
  <sheetData>
    <row r="1" spans="1:20" s="7" customFormat="1" ht="13.5" customHeight="1" x14ac:dyDescent="0.25">
      <c r="A1" s="252" t="s">
        <v>27</v>
      </c>
      <c r="B1" s="252"/>
      <c r="C1" s="252"/>
      <c r="D1" s="252"/>
      <c r="E1" s="252"/>
      <c r="F1" s="252"/>
      <c r="H1" s="251" t="s">
        <v>29</v>
      </c>
      <c r="I1" s="251"/>
      <c r="J1" s="251"/>
      <c r="K1" s="251"/>
      <c r="L1" s="251"/>
      <c r="M1" s="251"/>
      <c r="N1" s="251"/>
      <c r="O1" s="251"/>
      <c r="P1" s="251"/>
      <c r="Q1" s="251"/>
    </row>
    <row r="2" spans="1:20" s="7" customFormat="1" ht="13.5" customHeight="1" x14ac:dyDescent="0.25">
      <c r="A2" s="252" t="s">
        <v>28</v>
      </c>
      <c r="B2" s="252"/>
      <c r="C2" s="252"/>
      <c r="D2" s="252"/>
      <c r="E2" s="252"/>
      <c r="F2" s="252"/>
      <c r="H2" s="251" t="s">
        <v>30</v>
      </c>
      <c r="I2" s="251"/>
      <c r="J2" s="251"/>
      <c r="K2" s="251"/>
      <c r="L2" s="251"/>
      <c r="M2" s="251"/>
      <c r="N2" s="251"/>
      <c r="O2" s="251"/>
      <c r="P2" s="251"/>
      <c r="Q2" s="251"/>
    </row>
    <row r="3" spans="1:20" s="7" customFormat="1" ht="21" customHeight="1" x14ac:dyDescent="0.3">
      <c r="A3" s="253" t="s">
        <v>239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</row>
    <row r="4" spans="1:20" s="7" customFormat="1" ht="21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</row>
    <row r="5" spans="1:20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25</v>
      </c>
      <c r="N5" s="44" t="s">
        <v>355</v>
      </c>
      <c r="O5" s="44" t="s">
        <v>356</v>
      </c>
      <c r="P5" s="44" t="s">
        <v>357</v>
      </c>
      <c r="Q5" s="44" t="s">
        <v>26</v>
      </c>
      <c r="R5" s="44" t="s">
        <v>101</v>
      </c>
    </row>
    <row r="6" spans="1:20" s="57" customFormat="1" ht="15" customHeight="1" x14ac:dyDescent="0.25">
      <c r="A6" s="262" t="s">
        <v>483</v>
      </c>
      <c r="B6" s="263"/>
      <c r="C6" s="84"/>
      <c r="D6" s="84"/>
      <c r="E6" s="54">
        <f t="shared" ref="E6:Q6" si="0">SUM(E7:E7)</f>
        <v>2.67</v>
      </c>
      <c r="F6" s="54">
        <f t="shared" si="0"/>
        <v>0</v>
      </c>
      <c r="G6" s="54">
        <f t="shared" si="0"/>
        <v>0</v>
      </c>
      <c r="H6" s="54">
        <f t="shared" si="0"/>
        <v>0.2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108">
        <f t="shared" si="0"/>
        <v>4276300</v>
      </c>
      <c r="N6" s="108">
        <f t="shared" si="0"/>
        <v>318264</v>
      </c>
      <c r="O6" s="108">
        <f t="shared" si="0"/>
        <v>59674.5</v>
      </c>
      <c r="P6" s="108">
        <f t="shared" si="0"/>
        <v>39783</v>
      </c>
      <c r="Q6" s="108">
        <f t="shared" si="0"/>
        <v>3858578.5</v>
      </c>
      <c r="R6" s="56"/>
      <c r="S6" s="101"/>
    </row>
    <row r="7" spans="1:20" s="51" customFormat="1" ht="15" customHeight="1" x14ac:dyDescent="0.25">
      <c r="A7" s="46" t="s">
        <v>225</v>
      </c>
      <c r="B7" s="47" t="str">
        <f t="shared" ref="B7:B12" si="1">VLOOKUP(mavuviec,nhanvien,2,FALSE)</f>
        <v>Nguyễn Thị Thu Lan</v>
      </c>
      <c r="C7" s="47" t="str">
        <f t="shared" ref="C7:C12" si="2">VLOOKUP(mavuviec,nhanvien,7,FALSE)</f>
        <v>NV</v>
      </c>
      <c r="D7" s="47" t="str">
        <f t="shared" ref="D7:D12" si="3">VLOOKUP(mavuviec,nhanvien,4,FALSE)</f>
        <v>Bậc 02</v>
      </c>
      <c r="E7" s="48">
        <f>VLOOKUP(mavuviec,nhanvien,5,FALSE)</f>
        <v>2.67</v>
      </c>
      <c r="F7" s="48">
        <f>VLOOKUP(mavuviec,nhanvien,8,FALSE)</f>
        <v>0</v>
      </c>
      <c r="G7" s="49">
        <f t="shared" ref="G7:G12" si="4">VLOOKUP(mavuviec,nhanvien,11,FALSE)</f>
        <v>0</v>
      </c>
      <c r="H7" s="48">
        <f t="shared" ref="H7:H12" si="5">VLOOKUP(manhanvien,nhanvien,14,FALSE)</f>
        <v>0.2</v>
      </c>
      <c r="I7" s="49">
        <f t="shared" ref="I7:I12" si="6">VLOOKUP(mavuviec,nhanvien,17,FALSE)</f>
        <v>0</v>
      </c>
      <c r="J7" s="48">
        <f t="shared" ref="J7:J12" si="7">VLOOKUP(mavuviec,nhanvien,20,FALSE)</f>
        <v>0</v>
      </c>
      <c r="K7" s="49">
        <f t="shared" ref="K7:K12" si="8">VLOOKUP(mavuviec,nhanvien,23,FALSE)</f>
        <v>0</v>
      </c>
      <c r="L7" s="48">
        <f t="shared" ref="L7:L12" si="9">VLOOKUP(mavuviec,nhanvien,26,FALSE)</f>
        <v>0</v>
      </c>
      <c r="M7" s="50">
        <f>SUM(E7:L7)*luongcanban</f>
        <v>4276300</v>
      </c>
      <c r="N7" s="50">
        <f>SUM(E7:G7)*luongcanban*bhxh_1</f>
        <v>318264</v>
      </c>
      <c r="O7" s="50">
        <f>SUM(E7:G7)*luongcanban*bhyt_1</f>
        <v>59674.5</v>
      </c>
      <c r="P7" s="50">
        <f>SUM(E7:G7)*luongcanban*bhtn_1</f>
        <v>39783</v>
      </c>
      <c r="Q7" s="50">
        <f>M7-N7-O7-P7</f>
        <v>3858578.5</v>
      </c>
      <c r="R7" s="50">
        <f t="shared" ref="R7:R12" si="10">VLOOKUP(mavuviec,nhanvien,39,FALSE)</f>
        <v>0</v>
      </c>
    </row>
    <row r="8" spans="1:20" s="57" customFormat="1" ht="15" customHeight="1" x14ac:dyDescent="0.25">
      <c r="A8" s="262" t="s">
        <v>361</v>
      </c>
      <c r="B8" s="263"/>
      <c r="C8" s="84"/>
      <c r="D8" s="84"/>
      <c r="E8" s="54">
        <f t="shared" ref="E8:Q8" si="11">SUM(E9:E12)</f>
        <v>8.9200000000000017</v>
      </c>
      <c r="F8" s="54">
        <f t="shared" si="11"/>
        <v>0</v>
      </c>
      <c r="G8" s="54">
        <f t="shared" si="11"/>
        <v>0</v>
      </c>
      <c r="H8" s="54">
        <f t="shared" si="11"/>
        <v>0.8</v>
      </c>
      <c r="I8" s="54">
        <f t="shared" si="11"/>
        <v>0</v>
      </c>
      <c r="J8" s="54">
        <f t="shared" si="11"/>
        <v>0.1</v>
      </c>
      <c r="K8" s="54">
        <f t="shared" si="11"/>
        <v>0</v>
      </c>
      <c r="L8" s="54">
        <f t="shared" si="11"/>
        <v>0</v>
      </c>
      <c r="M8" s="56">
        <f t="shared" si="11"/>
        <v>14631800.000000002</v>
      </c>
      <c r="N8" s="56">
        <f t="shared" si="11"/>
        <v>1063264</v>
      </c>
      <c r="O8" s="56">
        <f t="shared" si="11"/>
        <v>199362</v>
      </c>
      <c r="P8" s="56">
        <f t="shared" si="11"/>
        <v>132908</v>
      </c>
      <c r="Q8" s="56">
        <f t="shared" si="11"/>
        <v>13236266.000000002</v>
      </c>
      <c r="R8" s="56"/>
      <c r="S8" s="101"/>
    </row>
    <row r="9" spans="1:20" s="94" customFormat="1" ht="15" customHeight="1" x14ac:dyDescent="0.25">
      <c r="A9" s="205" t="s">
        <v>232</v>
      </c>
      <c r="B9" s="95" t="str">
        <f t="shared" si="1"/>
        <v>Nguyễn Văn Giàu</v>
      </c>
      <c r="C9" s="95" t="str">
        <f t="shared" si="2"/>
        <v>NV</v>
      </c>
      <c r="D9" s="95" t="str">
        <f t="shared" si="3"/>
        <v>Bậc 07</v>
      </c>
      <c r="E9" s="96">
        <f>VLOOKUP(mavuviec,nhanvien,5,FALSE)</f>
        <v>2.58</v>
      </c>
      <c r="F9" s="96">
        <f>VLOOKUP(mavuviec,nhanvien,8,FALSE)</f>
        <v>0</v>
      </c>
      <c r="G9" s="97">
        <f t="shared" si="4"/>
        <v>0</v>
      </c>
      <c r="H9" s="96">
        <f t="shared" si="5"/>
        <v>0.2</v>
      </c>
      <c r="I9" s="97">
        <f t="shared" si="6"/>
        <v>0</v>
      </c>
      <c r="J9" s="96">
        <f t="shared" si="7"/>
        <v>0</v>
      </c>
      <c r="K9" s="97">
        <f t="shared" si="8"/>
        <v>0</v>
      </c>
      <c r="L9" s="96">
        <f t="shared" si="9"/>
        <v>0</v>
      </c>
      <c r="M9" s="98">
        <f>SUM(E9:L9)*luongcanban</f>
        <v>4142200.0000000005</v>
      </c>
      <c r="N9" s="98">
        <f>SUM(E9:G9)*luongcanban*bhxh_1</f>
        <v>307536</v>
      </c>
      <c r="O9" s="98">
        <f>SUM(E9:G9)*luongcanban*bhyt_1</f>
        <v>57663</v>
      </c>
      <c r="P9" s="98">
        <f>SUM(E9:G9)*luongcanban*bhtn_1</f>
        <v>38442</v>
      </c>
      <c r="Q9" s="98">
        <f>M9-N9-O9-P9</f>
        <v>3738559.0000000005</v>
      </c>
      <c r="R9" s="98">
        <f t="shared" si="10"/>
        <v>0</v>
      </c>
    </row>
    <row r="10" spans="1:20" s="51" customFormat="1" ht="15" customHeight="1" x14ac:dyDescent="0.25">
      <c r="A10" s="46" t="s">
        <v>242</v>
      </c>
      <c r="B10" s="47" t="str">
        <f t="shared" si="1"/>
        <v>Trần Thị Nhung</v>
      </c>
      <c r="C10" s="47" t="str">
        <f t="shared" si="2"/>
        <v>NV</v>
      </c>
      <c r="D10" s="47" t="str">
        <f t="shared" si="3"/>
        <v>Bậc 07</v>
      </c>
      <c r="E10" s="48">
        <f>VLOOKUP(mavuviec,nhanvien,5,FALSE)</f>
        <v>2.08</v>
      </c>
      <c r="F10" s="48">
        <f>VLOOKUP(mavuviec,nhanvien,8,FALSE)</f>
        <v>0</v>
      </c>
      <c r="G10" s="49">
        <f t="shared" si="4"/>
        <v>0</v>
      </c>
      <c r="H10" s="48">
        <f t="shared" si="5"/>
        <v>0.2</v>
      </c>
      <c r="I10" s="49">
        <f t="shared" si="6"/>
        <v>0</v>
      </c>
      <c r="J10" s="48">
        <f t="shared" si="7"/>
        <v>0.1</v>
      </c>
      <c r="K10" s="49">
        <f t="shared" si="8"/>
        <v>0</v>
      </c>
      <c r="L10" s="48">
        <f t="shared" si="9"/>
        <v>0</v>
      </c>
      <c r="M10" s="50">
        <f>SUM(E10:L10)*luongcanban</f>
        <v>3546200.0000000005</v>
      </c>
      <c r="N10" s="50">
        <f>SUM(E10:G10)*luongcanban*bhxh_1</f>
        <v>247936</v>
      </c>
      <c r="O10" s="50">
        <f>SUM(E10:G10)*luongcanban*bhyt_1</f>
        <v>46488</v>
      </c>
      <c r="P10" s="50">
        <f>SUM(E10:G10)*luongcanban*bhtn_1</f>
        <v>30992</v>
      </c>
      <c r="Q10" s="50">
        <f>M10-N10-O10-P10</f>
        <v>3220784.0000000005</v>
      </c>
      <c r="R10" s="50">
        <f t="shared" si="10"/>
        <v>0</v>
      </c>
    </row>
    <row r="11" spans="1:20" s="51" customFormat="1" ht="15" customHeight="1" x14ac:dyDescent="0.25">
      <c r="A11" s="46" t="s">
        <v>247</v>
      </c>
      <c r="B11" s="47" t="str">
        <f t="shared" si="1"/>
        <v>Nguyễn Hoàng Nhu</v>
      </c>
      <c r="C11" s="47" t="str">
        <f t="shared" si="2"/>
        <v>NV</v>
      </c>
      <c r="D11" s="47" t="str">
        <f t="shared" si="3"/>
        <v>Bậc 05</v>
      </c>
      <c r="E11" s="48">
        <f>VLOOKUP(mavuviec,nhanvien,5,FALSE)</f>
        <v>2.2200000000000002</v>
      </c>
      <c r="F11" s="48">
        <f>VLOOKUP(mavuviec,nhanvien,8,FALSE)</f>
        <v>0</v>
      </c>
      <c r="G11" s="49">
        <f t="shared" si="4"/>
        <v>0</v>
      </c>
      <c r="H11" s="48">
        <f t="shared" si="5"/>
        <v>0.2</v>
      </c>
      <c r="I11" s="49">
        <f t="shared" si="6"/>
        <v>0</v>
      </c>
      <c r="J11" s="48">
        <f t="shared" si="7"/>
        <v>0</v>
      </c>
      <c r="K11" s="49">
        <f t="shared" si="8"/>
        <v>0</v>
      </c>
      <c r="L11" s="48">
        <f t="shared" si="9"/>
        <v>0</v>
      </c>
      <c r="M11" s="50">
        <f>SUM(E11:L11)*luongcanban</f>
        <v>3605800.0000000005</v>
      </c>
      <c r="N11" s="50">
        <f>SUM(E11:G11)*luongcanban*bhxh_1</f>
        <v>264624.00000000006</v>
      </c>
      <c r="O11" s="50">
        <f>SUM(E11:G11)*luongcanban*bhyt_1</f>
        <v>49617.000000000007</v>
      </c>
      <c r="P11" s="50">
        <f>SUM(E11:G11)*luongcanban*bhtn_1</f>
        <v>33078.000000000007</v>
      </c>
      <c r="Q11" s="50">
        <f>M11-N11-O11-P11</f>
        <v>3258481.0000000005</v>
      </c>
      <c r="R11" s="50">
        <f t="shared" si="10"/>
        <v>0</v>
      </c>
    </row>
    <row r="12" spans="1:20" s="51" customFormat="1" ht="15" customHeight="1" x14ac:dyDescent="0.25">
      <c r="A12" s="46" t="s">
        <v>248</v>
      </c>
      <c r="B12" s="47" t="str">
        <f t="shared" si="1"/>
        <v>Lâm Văn Tâm</v>
      </c>
      <c r="C12" s="47" t="str">
        <f t="shared" si="2"/>
        <v>NV</v>
      </c>
      <c r="D12" s="47" t="str">
        <f t="shared" si="3"/>
        <v>Bậc 04</v>
      </c>
      <c r="E12" s="48">
        <f>VLOOKUP(mavuviec,nhanvien,5,FALSE)</f>
        <v>2.04</v>
      </c>
      <c r="F12" s="48">
        <f>VLOOKUP(mavuviec,nhanvien,8,FALSE)</f>
        <v>0</v>
      </c>
      <c r="G12" s="49">
        <f t="shared" si="4"/>
        <v>0</v>
      </c>
      <c r="H12" s="48">
        <f t="shared" si="5"/>
        <v>0.2</v>
      </c>
      <c r="I12" s="49">
        <f t="shared" si="6"/>
        <v>0</v>
      </c>
      <c r="J12" s="48">
        <f t="shared" si="7"/>
        <v>0</v>
      </c>
      <c r="K12" s="49">
        <f t="shared" si="8"/>
        <v>0</v>
      </c>
      <c r="L12" s="48">
        <f t="shared" si="9"/>
        <v>0</v>
      </c>
      <c r="M12" s="50">
        <f>SUM(E12:L12)*luongcanban</f>
        <v>3337600.0000000005</v>
      </c>
      <c r="N12" s="50">
        <f>SUM(E12:G12)*luongcanban*bhxh_1</f>
        <v>243168</v>
      </c>
      <c r="O12" s="50">
        <f>SUM(E12:G12)*luongcanban*bhyt_1</f>
        <v>45594</v>
      </c>
      <c r="P12" s="50">
        <f>SUM(E12:G12)*luongcanban*bhtn_1</f>
        <v>30396</v>
      </c>
      <c r="Q12" s="50">
        <f>M12-N12-O12-P12</f>
        <v>3018442.0000000005</v>
      </c>
      <c r="R12" s="50">
        <f t="shared" si="10"/>
        <v>0</v>
      </c>
      <c r="T12" s="99"/>
    </row>
    <row r="13" spans="1:20" s="57" customFormat="1" ht="15" customHeight="1" x14ac:dyDescent="0.25">
      <c r="A13" s="52"/>
      <c r="B13" s="264" t="s">
        <v>49</v>
      </c>
      <c r="C13" s="258"/>
      <c r="D13" s="53"/>
      <c r="E13" s="54">
        <f t="shared" ref="E13:Q13" si="12">SUM(E6:E12)/2</f>
        <v>11.59</v>
      </c>
      <c r="F13" s="54">
        <f t="shared" si="12"/>
        <v>0</v>
      </c>
      <c r="G13" s="54">
        <f t="shared" si="12"/>
        <v>0</v>
      </c>
      <c r="H13" s="54">
        <f t="shared" si="12"/>
        <v>1</v>
      </c>
      <c r="I13" s="54">
        <f t="shared" si="12"/>
        <v>0</v>
      </c>
      <c r="J13" s="54">
        <f t="shared" si="12"/>
        <v>0.1</v>
      </c>
      <c r="K13" s="54">
        <f t="shared" si="12"/>
        <v>0</v>
      </c>
      <c r="L13" s="54">
        <f t="shared" si="12"/>
        <v>0</v>
      </c>
      <c r="M13" s="108">
        <f t="shared" si="12"/>
        <v>18908100</v>
      </c>
      <c r="N13" s="108">
        <f t="shared" si="12"/>
        <v>1381528</v>
      </c>
      <c r="O13" s="108">
        <f t="shared" si="12"/>
        <v>259036.5</v>
      </c>
      <c r="P13" s="108">
        <f t="shared" si="12"/>
        <v>172691</v>
      </c>
      <c r="Q13" s="108">
        <f t="shared" si="12"/>
        <v>17094844.5</v>
      </c>
      <c r="R13" s="50"/>
      <c r="S13" s="51"/>
    </row>
    <row r="14" spans="1:20" s="25" customFormat="1" ht="14.25" customHeight="1" x14ac:dyDescent="0.25">
      <c r="A14" s="43"/>
      <c r="B14" s="260" t="str">
        <f>lb_4</f>
        <v>Ghi chú: BHXH, BHYT, BHTN = (Hệ số lương + Chức vụ + Vượt khung + Thâm niên nghề) x1.390.000 x Hệ số BHXH, BHYT, BHTN</v>
      </c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</row>
    <row r="15" spans="1:20" s="2" customFormat="1" x14ac:dyDescent="0.25">
      <c r="M15" s="256" t="str">
        <f>ngay</f>
        <v>Tây Ninh, ngày 01 tháng 7 năm 2019</v>
      </c>
      <c r="N15" s="256"/>
      <c r="O15" s="256"/>
      <c r="P15" s="256"/>
      <c r="Q15" s="256"/>
      <c r="R15" s="256"/>
    </row>
    <row r="16" spans="1:20" s="15" customFormat="1" ht="33.75" customHeight="1" x14ac:dyDescent="0.25">
      <c r="A16" s="20"/>
      <c r="B16" s="251" t="s">
        <v>72</v>
      </c>
      <c r="C16" s="251"/>
      <c r="D16" s="251" t="s">
        <v>73</v>
      </c>
      <c r="E16" s="251"/>
      <c r="F16" s="251"/>
      <c r="G16" s="251"/>
      <c r="H16" s="251"/>
      <c r="I16" s="251"/>
      <c r="J16" s="251"/>
      <c r="K16" s="251"/>
      <c r="L16" s="251"/>
      <c r="M16" s="252" t="s">
        <v>71</v>
      </c>
      <c r="N16" s="252"/>
      <c r="O16" s="252"/>
      <c r="P16" s="252"/>
      <c r="Q16" s="252"/>
      <c r="R16" s="252"/>
      <c r="T16" s="15">
        <f>hesoluongcanban_vv*1390000*0.02</f>
        <v>322202</v>
      </c>
    </row>
    <row r="17" spans="1:18" x14ac:dyDescent="0.25">
      <c r="M17" s="4"/>
      <c r="N17" s="4"/>
      <c r="O17" s="4"/>
      <c r="P17" s="4"/>
      <c r="Q17" s="4"/>
    </row>
    <row r="18" spans="1:18" x14ac:dyDescent="0.25">
      <c r="M18" s="4"/>
      <c r="N18" s="4"/>
      <c r="O18" s="4"/>
      <c r="P18" s="4"/>
      <c r="Q18" s="4"/>
    </row>
    <row r="19" spans="1:18" x14ac:dyDescent="0.25">
      <c r="M19" s="4"/>
      <c r="N19" s="4"/>
      <c r="O19" s="4"/>
      <c r="P19" s="4"/>
      <c r="Q19" s="4"/>
    </row>
    <row r="20" spans="1:18" x14ac:dyDescent="0.25">
      <c r="M20" s="4"/>
      <c r="N20" s="4"/>
      <c r="O20" s="4"/>
      <c r="P20" s="4"/>
      <c r="Q20" s="4"/>
    </row>
    <row r="21" spans="1:18" x14ac:dyDescent="0.25">
      <c r="A21" s="27"/>
      <c r="B21" s="261" t="s">
        <v>283</v>
      </c>
      <c r="C21" s="261"/>
      <c r="D21" s="261" t="str">
        <f>lb_2</f>
        <v>Nguyễn Văn Cường</v>
      </c>
      <c r="E21" s="261"/>
      <c r="F21" s="261"/>
      <c r="G21" s="261"/>
      <c r="H21" s="261"/>
      <c r="I21" s="261"/>
      <c r="J21" s="261"/>
      <c r="K21" s="261"/>
      <c r="L21" s="261"/>
      <c r="M21" s="257">
        <f>lb_3</f>
        <v>0</v>
      </c>
      <c r="N21" s="257"/>
      <c r="O21" s="257"/>
      <c r="P21" s="257"/>
      <c r="Q21" s="257"/>
      <c r="R21" s="257"/>
    </row>
  </sheetData>
  <mergeCells count="17">
    <mergeCell ref="A6:B6"/>
    <mergeCell ref="H1:Q1"/>
    <mergeCell ref="H2:Q2"/>
    <mergeCell ref="A3:R3"/>
    <mergeCell ref="A4:R4"/>
    <mergeCell ref="A1:F1"/>
    <mergeCell ref="A2:F2"/>
    <mergeCell ref="A8:B8"/>
    <mergeCell ref="B21:C21"/>
    <mergeCell ref="D21:L21"/>
    <mergeCell ref="M21:R21"/>
    <mergeCell ref="B13:C13"/>
    <mergeCell ref="B14:R14"/>
    <mergeCell ref="M15:R15"/>
    <mergeCell ref="B16:C16"/>
    <mergeCell ref="D16:L16"/>
    <mergeCell ref="M16:R16"/>
  </mergeCells>
  <phoneticPr fontId="3" type="noConversion"/>
  <pageMargins left="0.24" right="0.16" top="0.35" bottom="0.22" header="0.23" footer="0.17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indexed="12"/>
  </sheetPr>
  <dimension ref="A1:N85"/>
  <sheetViews>
    <sheetView workbookViewId="0">
      <selection activeCell="A20" sqref="A20:IV20"/>
    </sheetView>
  </sheetViews>
  <sheetFormatPr defaultColWidth="9.109375" defaultRowHeight="13.2" x14ac:dyDescent="0.25"/>
  <cols>
    <col min="1" max="1" width="4.44140625" style="1" customWidth="1"/>
    <col min="2" max="2" width="17.5546875" style="1" customWidth="1"/>
    <col min="3" max="8" width="10.5546875" style="1" customWidth="1"/>
    <col min="9" max="9" width="11.44140625" style="1" customWidth="1"/>
    <col min="10" max="10" width="11.109375" style="1" customWidth="1"/>
    <col min="11" max="11" width="13.88671875" style="1" customWidth="1"/>
    <col min="12" max="12" width="15.5546875" style="1" customWidth="1"/>
    <col min="13" max="13" width="9.109375" style="1"/>
    <col min="14" max="14" width="13.6640625" style="1" customWidth="1"/>
    <col min="15" max="16384" width="9.109375" style="1"/>
  </cols>
  <sheetData>
    <row r="1" spans="1:12" s="7" customFormat="1" ht="13.5" customHeight="1" x14ac:dyDescent="0.25">
      <c r="A1" s="252" t="s">
        <v>27</v>
      </c>
      <c r="B1" s="252"/>
      <c r="C1" s="252"/>
      <c r="D1" s="252"/>
      <c r="E1" s="252"/>
      <c r="F1" s="251" t="s">
        <v>29</v>
      </c>
      <c r="G1" s="251"/>
      <c r="H1" s="251"/>
      <c r="I1" s="251"/>
      <c r="J1" s="251"/>
      <c r="K1" s="251"/>
      <c r="L1" s="251"/>
    </row>
    <row r="2" spans="1:12" s="7" customFormat="1" ht="13.5" customHeight="1" x14ac:dyDescent="0.25">
      <c r="A2" s="252" t="s">
        <v>28</v>
      </c>
      <c r="B2" s="252"/>
      <c r="C2" s="252"/>
      <c r="D2" s="252"/>
      <c r="E2" s="252"/>
      <c r="F2" s="251" t="s">
        <v>30</v>
      </c>
      <c r="G2" s="251"/>
      <c r="H2" s="251"/>
      <c r="I2" s="251"/>
      <c r="J2" s="251"/>
      <c r="K2" s="251"/>
      <c r="L2" s="251"/>
    </row>
    <row r="3" spans="1:12" s="7" customFormat="1" ht="36.75" customHeight="1" x14ac:dyDescent="0.3">
      <c r="A3" s="253" t="s">
        <v>307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</row>
    <row r="4" spans="1:12" s="7" customFormat="1" ht="36.75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2" s="45" customFormat="1" ht="36" x14ac:dyDescent="0.25">
      <c r="A5" s="44" t="s">
        <v>68</v>
      </c>
      <c r="B5" s="44" t="s">
        <v>22</v>
      </c>
      <c r="C5" s="44" t="s">
        <v>23</v>
      </c>
      <c r="D5" s="44" t="s">
        <v>2</v>
      </c>
      <c r="E5" s="44" t="s">
        <v>114</v>
      </c>
      <c r="F5" s="44" t="s">
        <v>281</v>
      </c>
      <c r="G5" s="44" t="s">
        <v>302</v>
      </c>
      <c r="H5" s="44" t="s">
        <v>303</v>
      </c>
      <c r="I5" s="44" t="s">
        <v>304</v>
      </c>
      <c r="J5" s="44" t="s">
        <v>305</v>
      </c>
      <c r="K5" s="44" t="s">
        <v>306</v>
      </c>
      <c r="L5" s="44" t="s">
        <v>101</v>
      </c>
    </row>
    <row r="6" spans="1:12" s="45" customFormat="1" ht="12" x14ac:dyDescent="0.25">
      <c r="A6" s="44" t="s">
        <v>309</v>
      </c>
      <c r="B6" s="44" t="s">
        <v>310</v>
      </c>
      <c r="C6" s="44">
        <v>1</v>
      </c>
      <c r="D6" s="44">
        <v>2</v>
      </c>
      <c r="E6" s="44">
        <v>3</v>
      </c>
      <c r="F6" s="44" t="s">
        <v>311</v>
      </c>
      <c r="G6" s="44" t="s">
        <v>312</v>
      </c>
      <c r="H6" s="44">
        <v>6</v>
      </c>
      <c r="I6" s="44" t="s">
        <v>330</v>
      </c>
      <c r="J6" s="44" t="s">
        <v>331</v>
      </c>
      <c r="K6" s="44" t="s">
        <v>313</v>
      </c>
      <c r="L6" s="44">
        <v>10</v>
      </c>
    </row>
    <row r="7" spans="1:12" s="51" customFormat="1" ht="15" customHeight="1" x14ac:dyDescent="0.25">
      <c r="A7" s="46"/>
      <c r="B7" s="84" t="s">
        <v>336</v>
      </c>
      <c r="C7" s="55">
        <f t="shared" ref="C7:K7" si="0">SUM(C8:C21)</f>
        <v>55.44</v>
      </c>
      <c r="D7" s="55">
        <f t="shared" si="0"/>
        <v>4.1999999999999993</v>
      </c>
      <c r="E7" s="55">
        <f t="shared" si="0"/>
        <v>0.34860000000000008</v>
      </c>
      <c r="F7" s="55">
        <f t="shared" si="0"/>
        <v>59.988600000000005</v>
      </c>
      <c r="G7" s="55">
        <f t="shared" si="0"/>
        <v>0</v>
      </c>
      <c r="H7" s="55">
        <f t="shared" si="0"/>
        <v>0</v>
      </c>
      <c r="I7" s="56">
        <f t="shared" si="0"/>
        <v>0</v>
      </c>
      <c r="J7" s="56">
        <f t="shared" si="0"/>
        <v>0</v>
      </c>
      <c r="K7" s="56">
        <f t="shared" si="0"/>
        <v>0</v>
      </c>
      <c r="L7" s="48"/>
    </row>
    <row r="8" spans="1:12" s="51" customFormat="1" ht="15" customHeight="1" x14ac:dyDescent="0.25">
      <c r="A8" s="46" t="s">
        <v>3</v>
      </c>
      <c r="B8" s="47" t="str">
        <f t="shared" ref="B8:B35" si="1">VLOOKUP(matrocap,nhanvien,2,FALSE)</f>
        <v>Châu Văn Văn</v>
      </c>
      <c r="C8" s="49">
        <f t="shared" ref="C8:C35" si="2">VLOOKUP(matrocap,nhanvien,5,FALSE)</f>
        <v>6.1</v>
      </c>
      <c r="D8" s="49">
        <f t="shared" ref="D8:D35" si="3">VLOOKUP(matrocap,nhanvien,8,FALSE)</f>
        <v>0.9</v>
      </c>
      <c r="E8" s="49">
        <f t="shared" ref="E8:E35" si="4">VLOOKUP(matrocap,nhanvien,11,FALSE)</f>
        <v>0</v>
      </c>
      <c r="F8" s="49">
        <f t="shared" ref="F8:F19" si="5">SUM(C8:E8)</f>
        <v>7</v>
      </c>
      <c r="G8" s="49">
        <f t="shared" ref="G8:G35" si="6">VLOOKUP(matrocap,nhanvien,35,FALSE)</f>
        <v>0</v>
      </c>
      <c r="H8" s="49">
        <f t="shared" ref="H8:H35" si="7">VLOOKUP(matrocap,nhanvien,38,FALSE)</f>
        <v>0</v>
      </c>
      <c r="I8" s="50">
        <f t="shared" ref="I8:I19" si="8">G8*luongcanban</f>
        <v>0</v>
      </c>
      <c r="J8" s="50">
        <f t="shared" ref="J8:J19" si="9">H8*luongcanban</f>
        <v>0</v>
      </c>
      <c r="K8" s="50">
        <f t="shared" ref="K8:K19" si="10">SUM(I8:J8)</f>
        <v>0</v>
      </c>
      <c r="L8" s="48">
        <f t="shared" ref="L8:L35" si="11">VLOOKUP(matrocap,nhanvien,39,FALSE)</f>
        <v>0</v>
      </c>
    </row>
    <row r="9" spans="1:12" s="51" customFormat="1" ht="15" customHeight="1" x14ac:dyDescent="0.25">
      <c r="A9" s="46" t="s">
        <v>4</v>
      </c>
      <c r="B9" s="47" t="str">
        <f t="shared" si="1"/>
        <v>Huỳnh Hữu Phương</v>
      </c>
      <c r="C9" s="49">
        <f t="shared" si="2"/>
        <v>4.9800000000000004</v>
      </c>
      <c r="D9" s="49">
        <f t="shared" si="3"/>
        <v>0.7</v>
      </c>
      <c r="E9" s="49">
        <f t="shared" si="4"/>
        <v>0.34860000000000008</v>
      </c>
      <c r="F9" s="49">
        <f t="shared" si="5"/>
        <v>6.0286000000000008</v>
      </c>
      <c r="G9" s="49">
        <f t="shared" si="6"/>
        <v>0</v>
      </c>
      <c r="H9" s="49">
        <f t="shared" si="7"/>
        <v>0</v>
      </c>
      <c r="I9" s="50">
        <f t="shared" si="8"/>
        <v>0</v>
      </c>
      <c r="J9" s="50">
        <f t="shared" si="9"/>
        <v>0</v>
      </c>
      <c r="K9" s="50">
        <f t="shared" si="10"/>
        <v>0</v>
      </c>
      <c r="L9" s="48">
        <f t="shared" si="11"/>
        <v>0</v>
      </c>
    </row>
    <row r="10" spans="1:12" s="51" customFormat="1" ht="15" customHeight="1" x14ac:dyDescent="0.25">
      <c r="A10" s="46" t="s">
        <v>5</v>
      </c>
      <c r="B10" s="47" t="str">
        <f t="shared" si="1"/>
        <v>Tạ Ngọc Dân</v>
      </c>
      <c r="C10" s="49">
        <f t="shared" si="2"/>
        <v>4.32</v>
      </c>
      <c r="D10" s="49">
        <f t="shared" si="3"/>
        <v>0.7</v>
      </c>
      <c r="E10" s="49">
        <f t="shared" si="4"/>
        <v>0</v>
      </c>
      <c r="F10" s="49">
        <f t="shared" si="5"/>
        <v>5.0200000000000005</v>
      </c>
      <c r="G10" s="49">
        <f t="shared" si="6"/>
        <v>0</v>
      </c>
      <c r="H10" s="49">
        <f t="shared" si="7"/>
        <v>0</v>
      </c>
      <c r="I10" s="50">
        <f t="shared" si="8"/>
        <v>0</v>
      </c>
      <c r="J10" s="50">
        <f t="shared" si="9"/>
        <v>0</v>
      </c>
      <c r="K10" s="50">
        <f t="shared" si="10"/>
        <v>0</v>
      </c>
      <c r="L10" s="48">
        <f t="shared" si="11"/>
        <v>0</v>
      </c>
    </row>
    <row r="11" spans="1:12" s="51" customFormat="1" ht="15" customHeight="1" x14ac:dyDescent="0.25">
      <c r="A11" s="46" t="s">
        <v>6</v>
      </c>
      <c r="B11" s="47" t="str">
        <f t="shared" si="1"/>
        <v>Nguyễn Văn Cường</v>
      </c>
      <c r="C11" s="49">
        <f t="shared" si="2"/>
        <v>3.99</v>
      </c>
      <c r="D11" s="49">
        <f t="shared" si="3"/>
        <v>0.5</v>
      </c>
      <c r="E11" s="49">
        <f t="shared" si="4"/>
        <v>0</v>
      </c>
      <c r="F11" s="49">
        <f>SUM(C11:E11)</f>
        <v>4.49</v>
      </c>
      <c r="G11" s="49">
        <f t="shared" si="6"/>
        <v>0</v>
      </c>
      <c r="H11" s="49">
        <f t="shared" si="7"/>
        <v>0</v>
      </c>
      <c r="I11" s="50">
        <f>G11*luongcanban</f>
        <v>0</v>
      </c>
      <c r="J11" s="50">
        <f>H11*luongcanban</f>
        <v>0</v>
      </c>
      <c r="K11" s="50">
        <f>SUM(I11:J11)</f>
        <v>0</v>
      </c>
      <c r="L11" s="48">
        <f t="shared" si="11"/>
        <v>0</v>
      </c>
    </row>
    <row r="12" spans="1:12" s="51" customFormat="1" ht="15" customHeight="1" x14ac:dyDescent="0.25">
      <c r="A12" s="46" t="s">
        <v>7</v>
      </c>
      <c r="B12" s="47" t="str">
        <f t="shared" si="1"/>
        <v>Trần Văn Lành</v>
      </c>
      <c r="C12" s="49">
        <f t="shared" si="2"/>
        <v>3.33</v>
      </c>
      <c r="D12" s="49">
        <f t="shared" si="3"/>
        <v>0.3</v>
      </c>
      <c r="E12" s="49">
        <f t="shared" si="4"/>
        <v>0</v>
      </c>
      <c r="F12" s="49">
        <f t="shared" si="5"/>
        <v>3.63</v>
      </c>
      <c r="G12" s="49">
        <f t="shared" si="6"/>
        <v>0</v>
      </c>
      <c r="H12" s="49">
        <f t="shared" si="7"/>
        <v>0</v>
      </c>
      <c r="I12" s="50">
        <f t="shared" si="8"/>
        <v>0</v>
      </c>
      <c r="J12" s="50">
        <f t="shared" si="9"/>
        <v>0</v>
      </c>
      <c r="K12" s="50">
        <f t="shared" si="10"/>
        <v>0</v>
      </c>
      <c r="L12" s="48">
        <f t="shared" si="11"/>
        <v>0</v>
      </c>
    </row>
    <row r="13" spans="1:12" s="51" customFormat="1" ht="15" customHeight="1" x14ac:dyDescent="0.25">
      <c r="A13" s="46" t="s">
        <v>8</v>
      </c>
      <c r="B13" s="47" t="str">
        <f t="shared" si="1"/>
        <v>Nguyễn Thị Thanh</v>
      </c>
      <c r="C13" s="49">
        <f t="shared" si="2"/>
        <v>3.66</v>
      </c>
      <c r="D13" s="49">
        <f t="shared" si="3"/>
        <v>0</v>
      </c>
      <c r="E13" s="49">
        <f t="shared" si="4"/>
        <v>0</v>
      </c>
      <c r="F13" s="49">
        <f t="shared" si="5"/>
        <v>3.66</v>
      </c>
      <c r="G13" s="49">
        <f t="shared" si="6"/>
        <v>0</v>
      </c>
      <c r="H13" s="49">
        <f t="shared" si="7"/>
        <v>0</v>
      </c>
      <c r="I13" s="50">
        <f t="shared" si="8"/>
        <v>0</v>
      </c>
      <c r="J13" s="50">
        <f t="shared" si="9"/>
        <v>0</v>
      </c>
      <c r="K13" s="50">
        <f t="shared" si="10"/>
        <v>0</v>
      </c>
      <c r="L13" s="48">
        <f t="shared" si="11"/>
        <v>0</v>
      </c>
    </row>
    <row r="14" spans="1:12" s="51" customFormat="1" ht="15" customHeight="1" x14ac:dyDescent="0.25">
      <c r="A14" s="46" t="s">
        <v>9</v>
      </c>
      <c r="B14" s="47" t="str">
        <f t="shared" si="1"/>
        <v>Nguyễn Long Điền</v>
      </c>
      <c r="C14" s="49">
        <f t="shared" si="2"/>
        <v>3.99</v>
      </c>
      <c r="D14" s="49">
        <f t="shared" si="3"/>
        <v>0.5</v>
      </c>
      <c r="E14" s="49">
        <f t="shared" si="4"/>
        <v>0</v>
      </c>
      <c r="F14" s="49">
        <f t="shared" si="5"/>
        <v>4.49</v>
      </c>
      <c r="G14" s="49">
        <f t="shared" si="6"/>
        <v>0</v>
      </c>
      <c r="H14" s="49">
        <f t="shared" si="7"/>
        <v>0</v>
      </c>
      <c r="I14" s="50">
        <f t="shared" si="8"/>
        <v>0</v>
      </c>
      <c r="J14" s="50">
        <f t="shared" si="9"/>
        <v>0</v>
      </c>
      <c r="K14" s="50">
        <f t="shared" si="10"/>
        <v>0</v>
      </c>
      <c r="L14" s="48">
        <f t="shared" si="11"/>
        <v>0</v>
      </c>
    </row>
    <row r="15" spans="1:12" s="51" customFormat="1" ht="15" customHeight="1" x14ac:dyDescent="0.25">
      <c r="A15" s="46" t="s">
        <v>10</v>
      </c>
      <c r="B15" s="47" t="str">
        <f t="shared" si="1"/>
        <v>Hồ Đắc Long</v>
      </c>
      <c r="C15" s="49">
        <f t="shared" si="2"/>
        <v>3.66</v>
      </c>
      <c r="D15" s="49">
        <f t="shared" si="3"/>
        <v>0.3</v>
      </c>
      <c r="E15" s="49">
        <f t="shared" si="4"/>
        <v>0</v>
      </c>
      <c r="F15" s="49">
        <f t="shared" si="5"/>
        <v>3.96</v>
      </c>
      <c r="G15" s="49">
        <f t="shared" si="6"/>
        <v>0</v>
      </c>
      <c r="H15" s="49">
        <f t="shared" si="7"/>
        <v>0</v>
      </c>
      <c r="I15" s="50">
        <f t="shared" si="8"/>
        <v>0</v>
      </c>
      <c r="J15" s="50">
        <f t="shared" si="9"/>
        <v>0</v>
      </c>
      <c r="K15" s="50">
        <f t="shared" si="10"/>
        <v>0</v>
      </c>
      <c r="L15" s="48">
        <f t="shared" si="11"/>
        <v>0</v>
      </c>
    </row>
    <row r="16" spans="1:12" s="51" customFormat="1" ht="15" customHeight="1" x14ac:dyDescent="0.25">
      <c r="A16" s="46" t="s">
        <v>11</v>
      </c>
      <c r="B16" s="47" t="str">
        <f t="shared" si="1"/>
        <v>Hoàng Văn Hải</v>
      </c>
      <c r="C16" s="49">
        <f t="shared" si="2"/>
        <v>3.33</v>
      </c>
      <c r="D16" s="49">
        <f t="shared" si="3"/>
        <v>0</v>
      </c>
      <c r="E16" s="49">
        <f t="shared" si="4"/>
        <v>0</v>
      </c>
      <c r="F16" s="49">
        <f t="shared" si="5"/>
        <v>3.33</v>
      </c>
      <c r="G16" s="49">
        <f t="shared" si="6"/>
        <v>0</v>
      </c>
      <c r="H16" s="49">
        <f t="shared" si="7"/>
        <v>0</v>
      </c>
      <c r="I16" s="50">
        <f t="shared" si="8"/>
        <v>0</v>
      </c>
      <c r="J16" s="50">
        <f t="shared" si="9"/>
        <v>0</v>
      </c>
      <c r="K16" s="50">
        <f t="shared" si="10"/>
        <v>0</v>
      </c>
      <c r="L16" s="48">
        <f t="shared" si="11"/>
        <v>0</v>
      </c>
    </row>
    <row r="17" spans="1:12" s="51" customFormat="1" ht="15" customHeight="1" x14ac:dyDescent="0.25">
      <c r="A17" s="46" t="s">
        <v>12</v>
      </c>
      <c r="B17" s="47" t="str">
        <f t="shared" si="1"/>
        <v>Nguyễn Thị Nhung</v>
      </c>
      <c r="C17" s="49">
        <f t="shared" si="2"/>
        <v>3</v>
      </c>
      <c r="D17" s="49">
        <f t="shared" si="3"/>
        <v>0</v>
      </c>
      <c r="E17" s="49">
        <f t="shared" si="4"/>
        <v>0</v>
      </c>
      <c r="F17" s="49">
        <f t="shared" si="5"/>
        <v>3</v>
      </c>
      <c r="G17" s="49">
        <f t="shared" si="6"/>
        <v>0</v>
      </c>
      <c r="H17" s="49">
        <f t="shared" si="7"/>
        <v>0</v>
      </c>
      <c r="I17" s="50">
        <f t="shared" si="8"/>
        <v>0</v>
      </c>
      <c r="J17" s="50">
        <f t="shared" si="9"/>
        <v>0</v>
      </c>
      <c r="K17" s="50">
        <f t="shared" si="10"/>
        <v>0</v>
      </c>
      <c r="L17" s="48">
        <f t="shared" si="11"/>
        <v>0</v>
      </c>
    </row>
    <row r="18" spans="1:12" s="51" customFormat="1" ht="15" customHeight="1" x14ac:dyDescent="0.25">
      <c r="A18" s="46" t="s">
        <v>13</v>
      </c>
      <c r="B18" s="47" t="str">
        <f t="shared" si="1"/>
        <v>Tô Quang</v>
      </c>
      <c r="C18" s="49">
        <f t="shared" si="2"/>
        <v>3</v>
      </c>
      <c r="D18" s="49">
        <f t="shared" si="3"/>
        <v>0</v>
      </c>
      <c r="E18" s="49">
        <f t="shared" si="4"/>
        <v>0</v>
      </c>
      <c r="F18" s="49">
        <f t="shared" si="5"/>
        <v>3</v>
      </c>
      <c r="G18" s="49">
        <f t="shared" si="6"/>
        <v>0</v>
      </c>
      <c r="H18" s="49">
        <f t="shared" si="7"/>
        <v>0</v>
      </c>
      <c r="I18" s="50">
        <f t="shared" si="8"/>
        <v>0</v>
      </c>
      <c r="J18" s="50">
        <f t="shared" si="9"/>
        <v>0</v>
      </c>
      <c r="K18" s="50">
        <f t="shared" si="10"/>
        <v>0</v>
      </c>
      <c r="L18" s="48">
        <f t="shared" si="11"/>
        <v>0</v>
      </c>
    </row>
    <row r="19" spans="1:12" s="51" customFormat="1" ht="15" customHeight="1" x14ac:dyDescent="0.25">
      <c r="A19" s="46" t="s">
        <v>14</v>
      </c>
      <c r="B19" s="47" t="str">
        <f t="shared" si="1"/>
        <v>Nguyễn Xuân Hiếu</v>
      </c>
      <c r="C19" s="49">
        <f t="shared" si="2"/>
        <v>3.66</v>
      </c>
      <c r="D19" s="49">
        <f t="shared" si="3"/>
        <v>0.3</v>
      </c>
      <c r="E19" s="49">
        <f t="shared" si="4"/>
        <v>0</v>
      </c>
      <c r="F19" s="49">
        <f t="shared" si="5"/>
        <v>3.96</v>
      </c>
      <c r="G19" s="49">
        <f t="shared" si="6"/>
        <v>0</v>
      </c>
      <c r="H19" s="49">
        <f t="shared" si="7"/>
        <v>0</v>
      </c>
      <c r="I19" s="50">
        <f t="shared" si="8"/>
        <v>0</v>
      </c>
      <c r="J19" s="50">
        <f t="shared" si="9"/>
        <v>0</v>
      </c>
      <c r="K19" s="50">
        <f t="shared" si="10"/>
        <v>0</v>
      </c>
      <c r="L19" s="48">
        <f t="shared" si="11"/>
        <v>0</v>
      </c>
    </row>
    <row r="20" spans="1:12" s="51" customFormat="1" ht="15" customHeight="1" x14ac:dyDescent="0.25">
      <c r="A20" s="46" t="s">
        <v>32</v>
      </c>
      <c r="B20" s="47" t="str">
        <f t="shared" si="1"/>
        <v>Nguyễn Thị Hằng</v>
      </c>
      <c r="C20" s="49">
        <f t="shared" si="2"/>
        <v>3</v>
      </c>
      <c r="D20" s="49">
        <f t="shared" si="3"/>
        <v>0</v>
      </c>
      <c r="E20" s="49">
        <f t="shared" si="4"/>
        <v>0</v>
      </c>
      <c r="F20" s="49">
        <f>SUM(C20:E20)</f>
        <v>3</v>
      </c>
      <c r="G20" s="49">
        <f t="shared" si="6"/>
        <v>0</v>
      </c>
      <c r="H20" s="49">
        <f t="shared" si="7"/>
        <v>0</v>
      </c>
      <c r="I20" s="50">
        <f>G20*luongcanban</f>
        <v>0</v>
      </c>
      <c r="J20" s="50">
        <f>H20*luongcanban</f>
        <v>0</v>
      </c>
      <c r="K20" s="50">
        <f>SUM(I20:J20)</f>
        <v>0</v>
      </c>
      <c r="L20" s="48">
        <f t="shared" si="11"/>
        <v>0</v>
      </c>
    </row>
    <row r="21" spans="1:12" s="51" customFormat="1" ht="15" customHeight="1" x14ac:dyDescent="0.25">
      <c r="A21" s="46" t="s">
        <v>33</v>
      </c>
      <c r="B21" s="47" t="str">
        <f t="shared" si="1"/>
        <v>Nguyễn Văn Thái</v>
      </c>
      <c r="C21" s="49">
        <f t="shared" si="2"/>
        <v>5.42</v>
      </c>
      <c r="D21" s="49">
        <f t="shared" si="3"/>
        <v>0</v>
      </c>
      <c r="E21" s="49">
        <f t="shared" si="4"/>
        <v>0</v>
      </c>
      <c r="F21" s="49">
        <f>SUM(C21:E21)</f>
        <v>5.42</v>
      </c>
      <c r="G21" s="49">
        <f t="shared" si="6"/>
        <v>0</v>
      </c>
      <c r="H21" s="49">
        <f t="shared" si="7"/>
        <v>0</v>
      </c>
      <c r="I21" s="50">
        <f>G21*luongcanban</f>
        <v>0</v>
      </c>
      <c r="J21" s="50">
        <f>H21*luongcanban</f>
        <v>0</v>
      </c>
      <c r="K21" s="50">
        <f>SUM(I21:J21)</f>
        <v>0</v>
      </c>
      <c r="L21" s="48">
        <f t="shared" si="11"/>
        <v>0</v>
      </c>
    </row>
    <row r="22" spans="1:12" s="51" customFormat="1" ht="15" customHeight="1" x14ac:dyDescent="0.25">
      <c r="A22" s="46"/>
      <c r="B22" s="84" t="s">
        <v>337</v>
      </c>
      <c r="C22" s="55">
        <f t="shared" ref="C22:K22" si="12">SUM(C23:C35)</f>
        <v>41.58</v>
      </c>
      <c r="D22" s="55">
        <f t="shared" si="12"/>
        <v>1.1000000000000001</v>
      </c>
      <c r="E22" s="55">
        <f t="shared" si="12"/>
        <v>0</v>
      </c>
      <c r="F22" s="55">
        <f t="shared" si="12"/>
        <v>42.68</v>
      </c>
      <c r="G22" s="55">
        <f t="shared" si="12"/>
        <v>0</v>
      </c>
      <c r="H22" s="55">
        <f t="shared" si="12"/>
        <v>0</v>
      </c>
      <c r="I22" s="56">
        <f t="shared" si="12"/>
        <v>0</v>
      </c>
      <c r="J22" s="56">
        <f t="shared" si="12"/>
        <v>0</v>
      </c>
      <c r="K22" s="56">
        <f t="shared" si="12"/>
        <v>0</v>
      </c>
      <c r="L22" s="48"/>
    </row>
    <row r="23" spans="1:12" s="51" customFormat="1" ht="15" customHeight="1" x14ac:dyDescent="0.25">
      <c r="A23" s="46" t="s">
        <v>34</v>
      </c>
      <c r="B23" s="47" t="str">
        <f t="shared" si="1"/>
        <v>Nguyễn Xuân Phát</v>
      </c>
      <c r="C23" s="49">
        <f t="shared" si="2"/>
        <v>4.9800000000000004</v>
      </c>
      <c r="D23" s="49">
        <f t="shared" si="3"/>
        <v>0.3</v>
      </c>
      <c r="E23" s="49">
        <f t="shared" si="4"/>
        <v>0</v>
      </c>
      <c r="F23" s="49">
        <f>SUM(C23:E23)</f>
        <v>5.28</v>
      </c>
      <c r="G23" s="49">
        <f t="shared" si="6"/>
        <v>0</v>
      </c>
      <c r="H23" s="49">
        <f t="shared" si="7"/>
        <v>0</v>
      </c>
      <c r="I23" s="50">
        <f t="shared" ref="I23:J29" si="13">G23*luongcanban</f>
        <v>0</v>
      </c>
      <c r="J23" s="50">
        <f t="shared" si="13"/>
        <v>0</v>
      </c>
      <c r="K23" s="50">
        <f>SUM(I23:J23)</f>
        <v>0</v>
      </c>
      <c r="L23" s="48">
        <f t="shared" si="11"/>
        <v>0</v>
      </c>
    </row>
    <row r="24" spans="1:12" s="51" customFormat="1" ht="15" customHeight="1" x14ac:dyDescent="0.25">
      <c r="A24" s="46" t="s">
        <v>35</v>
      </c>
      <c r="B24" s="47" t="str">
        <f t="shared" si="1"/>
        <v>Lê Thanh Trị</v>
      </c>
      <c r="C24" s="49">
        <f t="shared" si="2"/>
        <v>4.0599999999999996</v>
      </c>
      <c r="D24" s="49">
        <f t="shared" si="3"/>
        <v>0</v>
      </c>
      <c r="E24" s="49">
        <f t="shared" si="4"/>
        <v>0</v>
      </c>
      <c r="F24" s="49">
        <f>SUM(C24:E24)</f>
        <v>4.0599999999999996</v>
      </c>
      <c r="G24" s="49">
        <f t="shared" si="6"/>
        <v>0</v>
      </c>
      <c r="H24" s="49">
        <f t="shared" si="7"/>
        <v>0</v>
      </c>
      <c r="I24" s="50">
        <f t="shared" si="13"/>
        <v>0</v>
      </c>
      <c r="J24" s="50">
        <f t="shared" si="13"/>
        <v>0</v>
      </c>
      <c r="K24" s="50">
        <f>SUM(I24:J24)</f>
        <v>0</v>
      </c>
      <c r="L24" s="48">
        <f t="shared" si="11"/>
        <v>0</v>
      </c>
    </row>
    <row r="25" spans="1:12" s="51" customFormat="1" ht="15" customHeight="1" x14ac:dyDescent="0.25">
      <c r="A25" s="46" t="s">
        <v>36</v>
      </c>
      <c r="B25" s="47" t="str">
        <f t="shared" si="1"/>
        <v>Trần Văn Lực</v>
      </c>
      <c r="C25" s="49">
        <f t="shared" si="2"/>
        <v>3.26</v>
      </c>
      <c r="D25" s="49">
        <f t="shared" si="3"/>
        <v>0</v>
      </c>
      <c r="E25" s="49">
        <f t="shared" si="4"/>
        <v>0</v>
      </c>
      <c r="F25" s="49">
        <f>SUM(C25:E25)</f>
        <v>3.26</v>
      </c>
      <c r="G25" s="49">
        <f t="shared" si="6"/>
        <v>0</v>
      </c>
      <c r="H25" s="49">
        <f t="shared" si="7"/>
        <v>0</v>
      </c>
      <c r="I25" s="50">
        <f t="shared" si="13"/>
        <v>0</v>
      </c>
      <c r="J25" s="50">
        <f t="shared" si="13"/>
        <v>0</v>
      </c>
      <c r="K25" s="50">
        <f>SUM(I25:J25)</f>
        <v>0</v>
      </c>
      <c r="L25" s="48">
        <f t="shared" si="11"/>
        <v>0</v>
      </c>
    </row>
    <row r="26" spans="1:12" s="51" customFormat="1" ht="15" customHeight="1" x14ac:dyDescent="0.25">
      <c r="A26" s="46" t="s">
        <v>37</v>
      </c>
      <c r="B26" s="47" t="str">
        <f t="shared" si="1"/>
        <v>Phạm Kim Long</v>
      </c>
      <c r="C26" s="49">
        <f t="shared" si="2"/>
        <v>3.66</v>
      </c>
      <c r="D26" s="49">
        <f t="shared" si="3"/>
        <v>0</v>
      </c>
      <c r="E26" s="49">
        <f t="shared" si="4"/>
        <v>0</v>
      </c>
      <c r="F26" s="49">
        <f>SUM(C26:E26)</f>
        <v>3.66</v>
      </c>
      <c r="G26" s="49">
        <f t="shared" si="6"/>
        <v>0</v>
      </c>
      <c r="H26" s="49">
        <f t="shared" si="7"/>
        <v>0</v>
      </c>
      <c r="I26" s="50">
        <f t="shared" si="13"/>
        <v>0</v>
      </c>
      <c r="J26" s="50">
        <f t="shared" si="13"/>
        <v>0</v>
      </c>
      <c r="K26" s="50">
        <f>SUM(I26:J26)</f>
        <v>0</v>
      </c>
      <c r="L26" s="48">
        <f t="shared" si="11"/>
        <v>0</v>
      </c>
    </row>
    <row r="27" spans="1:12" s="51" customFormat="1" ht="15" customHeight="1" x14ac:dyDescent="0.25">
      <c r="A27" s="46" t="s">
        <v>38</v>
      </c>
      <c r="B27" s="47" t="str">
        <f t="shared" si="1"/>
        <v>Nguyễn Văn Bình</v>
      </c>
      <c r="C27" s="49">
        <f t="shared" si="2"/>
        <v>2.66</v>
      </c>
      <c r="D27" s="49">
        <f t="shared" si="3"/>
        <v>0</v>
      </c>
      <c r="E27" s="49">
        <f t="shared" si="4"/>
        <v>0</v>
      </c>
      <c r="F27" s="49">
        <f>SUM(C27:E27)</f>
        <v>2.66</v>
      </c>
      <c r="G27" s="49">
        <f t="shared" si="6"/>
        <v>0</v>
      </c>
      <c r="H27" s="49">
        <f t="shared" si="7"/>
        <v>0</v>
      </c>
      <c r="I27" s="50">
        <f t="shared" si="13"/>
        <v>0</v>
      </c>
      <c r="J27" s="50">
        <f t="shared" si="13"/>
        <v>0</v>
      </c>
      <c r="K27" s="50">
        <f>SUM(I27:J27)</f>
        <v>0</v>
      </c>
      <c r="L27" s="48">
        <f t="shared" si="11"/>
        <v>0</v>
      </c>
    </row>
    <row r="28" spans="1:12" s="51" customFormat="1" ht="15" customHeight="1" x14ac:dyDescent="0.25">
      <c r="A28" s="46" t="s">
        <v>39</v>
      </c>
      <c r="B28" s="47" t="str">
        <f t="shared" si="1"/>
        <v>Nguyễn Minh Thuận</v>
      </c>
      <c r="C28" s="49">
        <f t="shared" si="2"/>
        <v>2.66</v>
      </c>
      <c r="D28" s="49">
        <f t="shared" si="3"/>
        <v>0</v>
      </c>
      <c r="E28" s="49">
        <f t="shared" si="4"/>
        <v>0</v>
      </c>
      <c r="F28" s="49">
        <f t="shared" ref="F28:F35" si="14">SUM(C28:E28)</f>
        <v>2.66</v>
      </c>
      <c r="G28" s="49">
        <f t="shared" si="6"/>
        <v>0</v>
      </c>
      <c r="H28" s="49">
        <f t="shared" si="7"/>
        <v>0</v>
      </c>
      <c r="I28" s="50">
        <f t="shared" si="13"/>
        <v>0</v>
      </c>
      <c r="J28" s="50">
        <f t="shared" si="13"/>
        <v>0</v>
      </c>
      <c r="K28" s="50">
        <f t="shared" ref="K28:K35" si="15">SUM(I28:J28)</f>
        <v>0</v>
      </c>
      <c r="L28" s="48">
        <f t="shared" si="11"/>
        <v>0</v>
      </c>
    </row>
    <row r="29" spans="1:12" s="51" customFormat="1" ht="15" customHeight="1" x14ac:dyDescent="0.25">
      <c r="A29" s="46" t="s">
        <v>40</v>
      </c>
      <c r="B29" s="47" t="str">
        <f t="shared" si="1"/>
        <v>Nguyễn Đức Toàn</v>
      </c>
      <c r="C29" s="49">
        <f t="shared" si="2"/>
        <v>2.66</v>
      </c>
      <c r="D29" s="49">
        <f t="shared" si="3"/>
        <v>0</v>
      </c>
      <c r="E29" s="49">
        <f t="shared" si="4"/>
        <v>0</v>
      </c>
      <c r="F29" s="49">
        <f>SUM(C29:E29)</f>
        <v>2.66</v>
      </c>
      <c r="G29" s="49">
        <f t="shared" si="6"/>
        <v>0</v>
      </c>
      <c r="H29" s="49">
        <f t="shared" si="7"/>
        <v>0</v>
      </c>
      <c r="I29" s="50">
        <f t="shared" si="13"/>
        <v>0</v>
      </c>
      <c r="J29" s="50">
        <f t="shared" si="13"/>
        <v>0</v>
      </c>
      <c r="K29" s="50">
        <f>SUM(I29:J29)</f>
        <v>0</v>
      </c>
      <c r="L29" s="48">
        <f t="shared" si="11"/>
        <v>0</v>
      </c>
    </row>
    <row r="30" spans="1:12" s="51" customFormat="1" ht="15" customHeight="1" x14ac:dyDescent="0.25">
      <c r="A30" s="46" t="s">
        <v>41</v>
      </c>
      <c r="B30" s="47" t="str">
        <f t="shared" si="1"/>
        <v>Bùi Đông Phú</v>
      </c>
      <c r="C30" s="49">
        <f t="shared" si="2"/>
        <v>2.66</v>
      </c>
      <c r="D30" s="49">
        <f t="shared" si="3"/>
        <v>0</v>
      </c>
      <c r="E30" s="49">
        <f t="shared" si="4"/>
        <v>0</v>
      </c>
      <c r="F30" s="49">
        <f t="shared" si="14"/>
        <v>2.66</v>
      </c>
      <c r="G30" s="49">
        <f t="shared" si="6"/>
        <v>0</v>
      </c>
      <c r="H30" s="49">
        <f t="shared" si="7"/>
        <v>0</v>
      </c>
      <c r="I30" s="50">
        <f t="shared" ref="I30:J35" si="16">G30*luongcanban</f>
        <v>0</v>
      </c>
      <c r="J30" s="50">
        <f t="shared" si="16"/>
        <v>0</v>
      </c>
      <c r="K30" s="50">
        <f t="shared" si="15"/>
        <v>0</v>
      </c>
      <c r="L30" s="48">
        <f t="shared" si="11"/>
        <v>0</v>
      </c>
    </row>
    <row r="31" spans="1:12" s="51" customFormat="1" ht="15" customHeight="1" x14ac:dyDescent="0.25">
      <c r="A31" s="46" t="s">
        <v>42</v>
      </c>
      <c r="B31" s="47" t="str">
        <f t="shared" si="1"/>
        <v>Mai Duy Tuân</v>
      </c>
      <c r="C31" s="49">
        <f t="shared" si="2"/>
        <v>2.46</v>
      </c>
      <c r="D31" s="49">
        <f t="shared" si="3"/>
        <v>0</v>
      </c>
      <c r="E31" s="49">
        <f t="shared" si="4"/>
        <v>0</v>
      </c>
      <c r="F31" s="49">
        <f t="shared" si="14"/>
        <v>2.46</v>
      </c>
      <c r="G31" s="49">
        <f t="shared" si="6"/>
        <v>0</v>
      </c>
      <c r="H31" s="49">
        <f t="shared" si="7"/>
        <v>0</v>
      </c>
      <c r="I31" s="50">
        <f t="shared" si="16"/>
        <v>0</v>
      </c>
      <c r="J31" s="50">
        <f t="shared" si="16"/>
        <v>0</v>
      </c>
      <c r="K31" s="50">
        <f t="shared" si="15"/>
        <v>0</v>
      </c>
      <c r="L31" s="48">
        <f t="shared" si="11"/>
        <v>0</v>
      </c>
    </row>
    <row r="32" spans="1:12" s="51" customFormat="1" ht="15" customHeight="1" x14ac:dyDescent="0.25">
      <c r="A32" s="46" t="s">
        <v>43</v>
      </c>
      <c r="B32" s="47" t="str">
        <f t="shared" si="1"/>
        <v>Lê Văn Nam</v>
      </c>
      <c r="C32" s="49">
        <f t="shared" si="2"/>
        <v>2.67</v>
      </c>
      <c r="D32" s="49">
        <f t="shared" si="3"/>
        <v>0</v>
      </c>
      <c r="E32" s="49">
        <f t="shared" si="4"/>
        <v>0</v>
      </c>
      <c r="F32" s="49">
        <f>SUM(C32:E32)</f>
        <v>2.67</v>
      </c>
      <c r="G32" s="49">
        <f t="shared" si="6"/>
        <v>0</v>
      </c>
      <c r="H32" s="49">
        <f t="shared" si="7"/>
        <v>0</v>
      </c>
      <c r="I32" s="50">
        <f t="shared" ref="I32:J34" si="17">G32*luongcanban</f>
        <v>0</v>
      </c>
      <c r="J32" s="50">
        <f t="shared" si="17"/>
        <v>0</v>
      </c>
      <c r="K32" s="50">
        <f>SUM(I32:J32)</f>
        <v>0</v>
      </c>
      <c r="L32" s="48">
        <f t="shared" si="11"/>
        <v>0</v>
      </c>
    </row>
    <row r="33" spans="1:14" s="51" customFormat="1" ht="15" customHeight="1" x14ac:dyDescent="0.25">
      <c r="A33" s="46" t="s">
        <v>44</v>
      </c>
      <c r="B33" s="47" t="str">
        <f t="shared" si="1"/>
        <v>Nguyễn Thành Sơn</v>
      </c>
      <c r="C33" s="49">
        <f t="shared" si="2"/>
        <v>2.86</v>
      </c>
      <c r="D33" s="49">
        <f t="shared" si="3"/>
        <v>0</v>
      </c>
      <c r="E33" s="49">
        <f t="shared" si="4"/>
        <v>0</v>
      </c>
      <c r="F33" s="49">
        <f>SUM(C33:E33)</f>
        <v>2.86</v>
      </c>
      <c r="G33" s="49">
        <f t="shared" si="6"/>
        <v>0</v>
      </c>
      <c r="H33" s="49">
        <f t="shared" si="7"/>
        <v>0</v>
      </c>
      <c r="I33" s="50">
        <f t="shared" si="17"/>
        <v>0</v>
      </c>
      <c r="J33" s="50">
        <f t="shared" si="17"/>
        <v>0</v>
      </c>
      <c r="K33" s="50">
        <f>SUM(I33:J33)</f>
        <v>0</v>
      </c>
      <c r="L33" s="48">
        <f t="shared" si="11"/>
        <v>0</v>
      </c>
    </row>
    <row r="34" spans="1:14" s="51" customFormat="1" ht="15" customHeight="1" x14ac:dyDescent="0.25">
      <c r="A34" s="46" t="s">
        <v>45</v>
      </c>
      <c r="B34" s="47" t="str">
        <f t="shared" si="1"/>
        <v>Phạm Xuân Thành</v>
      </c>
      <c r="C34" s="49">
        <f t="shared" si="2"/>
        <v>3.66</v>
      </c>
      <c r="D34" s="49">
        <f t="shared" si="3"/>
        <v>0.5</v>
      </c>
      <c r="E34" s="49">
        <f t="shared" si="4"/>
        <v>0</v>
      </c>
      <c r="F34" s="49">
        <f>SUM(C34:E34)</f>
        <v>4.16</v>
      </c>
      <c r="G34" s="49">
        <f t="shared" si="6"/>
        <v>0</v>
      </c>
      <c r="H34" s="49">
        <f t="shared" si="7"/>
        <v>0</v>
      </c>
      <c r="I34" s="50">
        <f t="shared" si="17"/>
        <v>0</v>
      </c>
      <c r="J34" s="50">
        <f t="shared" si="17"/>
        <v>0</v>
      </c>
      <c r="K34" s="50">
        <f>SUM(I34:J34)</f>
        <v>0</v>
      </c>
      <c r="L34" s="48">
        <f t="shared" si="11"/>
        <v>0</v>
      </c>
    </row>
    <row r="35" spans="1:14" s="51" customFormat="1" ht="15" customHeight="1" x14ac:dyDescent="0.25">
      <c r="A35" s="46" t="s">
        <v>46</v>
      </c>
      <c r="B35" s="47" t="str">
        <f t="shared" si="1"/>
        <v>Nguyễn Thị Tuyết Mai</v>
      </c>
      <c r="C35" s="49">
        <f t="shared" si="2"/>
        <v>3.33</v>
      </c>
      <c r="D35" s="49">
        <f t="shared" si="3"/>
        <v>0.3</v>
      </c>
      <c r="E35" s="49">
        <f t="shared" si="4"/>
        <v>0</v>
      </c>
      <c r="F35" s="49">
        <f t="shared" si="14"/>
        <v>3.63</v>
      </c>
      <c r="G35" s="49">
        <f t="shared" si="6"/>
        <v>0</v>
      </c>
      <c r="H35" s="49">
        <f t="shared" si="7"/>
        <v>0</v>
      </c>
      <c r="I35" s="50">
        <f t="shared" si="16"/>
        <v>0</v>
      </c>
      <c r="J35" s="50">
        <f t="shared" si="16"/>
        <v>0</v>
      </c>
      <c r="K35" s="50">
        <f t="shared" si="15"/>
        <v>0</v>
      </c>
      <c r="L35" s="48">
        <f t="shared" si="11"/>
        <v>0</v>
      </c>
    </row>
    <row r="36" spans="1:14" s="51" customFormat="1" ht="16.5" customHeight="1" x14ac:dyDescent="0.25">
      <c r="A36" s="46"/>
      <c r="B36" s="84" t="s">
        <v>338</v>
      </c>
      <c r="C36" s="55">
        <f t="shared" ref="C36:H36" si="18">SUM(C37:C41)</f>
        <v>14.27</v>
      </c>
      <c r="D36" s="55">
        <f t="shared" si="18"/>
        <v>0</v>
      </c>
      <c r="E36" s="55">
        <f t="shared" si="18"/>
        <v>0</v>
      </c>
      <c r="F36" s="55">
        <f t="shared" si="18"/>
        <v>14.27</v>
      </c>
      <c r="G36" s="55">
        <f t="shared" si="18"/>
        <v>0</v>
      </c>
      <c r="H36" s="55">
        <f t="shared" si="18"/>
        <v>0</v>
      </c>
      <c r="I36" s="56">
        <f>SUM(I37:I41)</f>
        <v>0</v>
      </c>
      <c r="J36" s="56">
        <f>SUM(J37:J41)</f>
        <v>0</v>
      </c>
      <c r="K36" s="56">
        <f>SUM(K37:K41)</f>
        <v>0</v>
      </c>
      <c r="L36" s="48"/>
    </row>
    <row r="37" spans="1:14" s="51" customFormat="1" ht="16.5" customHeight="1" x14ac:dyDescent="0.25">
      <c r="A37" s="46" t="s">
        <v>47</v>
      </c>
      <c r="B37" s="47" t="str">
        <f>VLOOKUP(matrocap,nhanvien,2,FALSE)</f>
        <v>Nguyễn Thị Cẩm Tú</v>
      </c>
      <c r="C37" s="49">
        <f>VLOOKUP(matrocap,nhanvien,5,FALSE)</f>
        <v>2.86</v>
      </c>
      <c r="D37" s="49">
        <f>VLOOKUP(matrocap,nhanvien,8,FALSE)</f>
        <v>0</v>
      </c>
      <c r="E37" s="49">
        <f>VLOOKUP(matrocap,nhanvien,11,FALSE)</f>
        <v>0</v>
      </c>
      <c r="F37" s="49">
        <f>SUM(C37:E37)</f>
        <v>2.86</v>
      </c>
      <c r="G37" s="49">
        <f>VLOOKUP(matrocap,nhanvien,35,FALSE)</f>
        <v>0</v>
      </c>
      <c r="H37" s="49">
        <f>VLOOKUP(matrocap,nhanvien,38,FALSE)</f>
        <v>0</v>
      </c>
      <c r="I37" s="50">
        <f t="shared" ref="I37:J41" si="19">G37*luongcanban</f>
        <v>0</v>
      </c>
      <c r="J37" s="50">
        <f t="shared" si="19"/>
        <v>0</v>
      </c>
      <c r="K37" s="50">
        <f>SUM(I37:J37)</f>
        <v>0</v>
      </c>
      <c r="L37" s="48">
        <f>VLOOKUP(matrocap,nhanvien,39,FALSE)</f>
        <v>0</v>
      </c>
    </row>
    <row r="38" spans="1:14" s="51" customFormat="1" ht="16.5" customHeight="1" x14ac:dyDescent="0.25">
      <c r="A38" s="46" t="s">
        <v>48</v>
      </c>
      <c r="B38" s="47" t="str">
        <f>VLOOKUP(matrocap,nhanvien,2,FALSE)</f>
        <v>Bùi Thị Oanh</v>
      </c>
      <c r="C38" s="49">
        <f>VLOOKUP(matrocap,nhanvien,5,FALSE)</f>
        <v>2.41</v>
      </c>
      <c r="D38" s="49">
        <f>VLOOKUP(matrocap,nhanvien,8,FALSE)</f>
        <v>0</v>
      </c>
      <c r="E38" s="49">
        <f>VLOOKUP(matrocap,nhanvien,11,FALSE)</f>
        <v>0</v>
      </c>
      <c r="F38" s="49">
        <f>SUM(C38:E38)</f>
        <v>2.41</v>
      </c>
      <c r="G38" s="49">
        <f>VLOOKUP(matrocap,nhanvien,35,FALSE)</f>
        <v>0</v>
      </c>
      <c r="H38" s="49">
        <f>VLOOKUP(matrocap,nhanvien,38,FALSE)</f>
        <v>0</v>
      </c>
      <c r="I38" s="50">
        <f t="shared" si="19"/>
        <v>0</v>
      </c>
      <c r="J38" s="50">
        <f t="shared" si="19"/>
        <v>0</v>
      </c>
      <c r="K38" s="50">
        <f>SUM(I38:J38)</f>
        <v>0</v>
      </c>
      <c r="L38" s="48">
        <f>VLOOKUP(matrocap,nhanvien,39,FALSE)</f>
        <v>0</v>
      </c>
    </row>
    <row r="39" spans="1:14" s="51" customFormat="1" ht="16.5" customHeight="1" x14ac:dyDescent="0.25">
      <c r="A39" s="46" t="s">
        <v>106</v>
      </c>
      <c r="B39" s="47" t="str">
        <f>VLOOKUP(matrocap,nhanvien,2,FALSE)</f>
        <v>Trần Thị Bạch Minh</v>
      </c>
      <c r="C39" s="49">
        <f>VLOOKUP(matrocap,nhanvien,5,FALSE)</f>
        <v>3.33</v>
      </c>
      <c r="D39" s="49">
        <f>VLOOKUP(matrocap,nhanvien,8,FALSE)</f>
        <v>0</v>
      </c>
      <c r="E39" s="49">
        <f>VLOOKUP(matrocap,nhanvien,11,FALSE)</f>
        <v>0</v>
      </c>
      <c r="F39" s="49">
        <f>SUM(C39:E39)</f>
        <v>3.33</v>
      </c>
      <c r="G39" s="49">
        <f>VLOOKUP(matrocap,nhanvien,35,FALSE)</f>
        <v>0</v>
      </c>
      <c r="H39" s="49">
        <f>VLOOKUP(matrocap,nhanvien,38,FALSE)</f>
        <v>0</v>
      </c>
      <c r="I39" s="50">
        <f>G39*luongcanban</f>
        <v>0</v>
      </c>
      <c r="J39" s="50">
        <f>H39*luongcanban</f>
        <v>0</v>
      </c>
      <c r="K39" s="50">
        <f>SUM(I39:J39)</f>
        <v>0</v>
      </c>
      <c r="L39" s="48">
        <f>VLOOKUP(matrocap,nhanvien,39,FALSE)</f>
        <v>0</v>
      </c>
      <c r="N39" s="99" t="e">
        <f>I40+#REF!</f>
        <v>#REF!</v>
      </c>
    </row>
    <row r="40" spans="1:14" s="51" customFormat="1" ht="16.5" customHeight="1" x14ac:dyDescent="0.25">
      <c r="A40" s="46" t="s">
        <v>113</v>
      </c>
      <c r="B40" s="47" t="str">
        <f>VLOOKUP(matrocap,nhanvien,2,FALSE)</f>
        <v>Trần Nam San</v>
      </c>
      <c r="C40" s="49">
        <f>VLOOKUP(matrocap,nhanvien,5,FALSE)</f>
        <v>3</v>
      </c>
      <c r="D40" s="49">
        <f>VLOOKUP(matrocap,nhanvien,8,FALSE)</f>
        <v>0</v>
      </c>
      <c r="E40" s="49">
        <f>VLOOKUP(matrocap,nhanvien,11,FALSE)</f>
        <v>0</v>
      </c>
      <c r="F40" s="49">
        <f>SUM(C40:E40)</f>
        <v>3</v>
      </c>
      <c r="G40" s="49">
        <f>VLOOKUP(matrocap,nhanvien,35,FALSE)</f>
        <v>0</v>
      </c>
      <c r="H40" s="49">
        <f>VLOOKUP(matrocap,nhanvien,38,FALSE)</f>
        <v>0</v>
      </c>
      <c r="I40" s="50">
        <f t="shared" si="19"/>
        <v>0</v>
      </c>
      <c r="J40" s="50">
        <f t="shared" si="19"/>
        <v>0</v>
      </c>
      <c r="K40" s="50">
        <f>SUM(I40:J40)</f>
        <v>0</v>
      </c>
      <c r="L40" s="48">
        <f>VLOOKUP(matrocap,nhanvien,39,FALSE)</f>
        <v>0</v>
      </c>
      <c r="N40" s="99">
        <f>J42+J77</f>
        <v>0</v>
      </c>
    </row>
    <row r="41" spans="1:14" s="51" customFormat="1" ht="16.5" customHeight="1" x14ac:dyDescent="0.25">
      <c r="A41" s="46" t="s">
        <v>225</v>
      </c>
      <c r="B41" s="47" t="str">
        <f>VLOOKUP(matrocap,nhanvien,2,FALSE)</f>
        <v>Nguyễn Thị Thu Lan</v>
      </c>
      <c r="C41" s="49">
        <f>VLOOKUP(matrocap,nhanvien,5,FALSE)</f>
        <v>2.67</v>
      </c>
      <c r="D41" s="49">
        <f>VLOOKUP(matrocap,nhanvien,8,FALSE)</f>
        <v>0</v>
      </c>
      <c r="E41" s="49">
        <f>VLOOKUP(matrocap,nhanvien,11,FALSE)</f>
        <v>0</v>
      </c>
      <c r="F41" s="49">
        <f>SUM(C41:E41)</f>
        <v>2.67</v>
      </c>
      <c r="G41" s="49">
        <f>VLOOKUP(matrocap,nhanvien,35,FALSE)</f>
        <v>0</v>
      </c>
      <c r="H41" s="49">
        <f>VLOOKUP(matrocap,nhanvien,38,FALSE)</f>
        <v>0</v>
      </c>
      <c r="I41" s="50">
        <f t="shared" si="19"/>
        <v>0</v>
      </c>
      <c r="J41" s="50">
        <f t="shared" si="19"/>
        <v>0</v>
      </c>
      <c r="K41" s="50">
        <f>SUM(I41:J41)</f>
        <v>0</v>
      </c>
      <c r="L41" s="48">
        <f>VLOOKUP(matrocap,nhanvien,39,FALSE)</f>
        <v>0</v>
      </c>
      <c r="N41" s="99">
        <f>I42+I77</f>
        <v>0</v>
      </c>
    </row>
    <row r="42" spans="1:14" s="57" customFormat="1" ht="15" customHeight="1" x14ac:dyDescent="0.25">
      <c r="A42" s="52"/>
      <c r="B42" s="61" t="s">
        <v>49</v>
      </c>
      <c r="C42" s="55">
        <f t="shared" ref="C42:K42" si="20">SUM(C7:C41)/2</f>
        <v>111.28999999999999</v>
      </c>
      <c r="D42" s="55">
        <f t="shared" si="20"/>
        <v>5.3000000000000007</v>
      </c>
      <c r="E42" s="55">
        <f t="shared" si="20"/>
        <v>0.34860000000000008</v>
      </c>
      <c r="F42" s="55">
        <f t="shared" si="20"/>
        <v>116.93859999999998</v>
      </c>
      <c r="G42" s="55">
        <f t="shared" si="20"/>
        <v>0</v>
      </c>
      <c r="H42" s="55">
        <f t="shared" si="20"/>
        <v>0</v>
      </c>
      <c r="I42" s="56">
        <f t="shared" si="20"/>
        <v>0</v>
      </c>
      <c r="J42" s="56">
        <f t="shared" si="20"/>
        <v>0</v>
      </c>
      <c r="K42" s="56">
        <f t="shared" si="20"/>
        <v>0</v>
      </c>
      <c r="L42" s="50"/>
      <c r="N42" s="101">
        <f>thuclinh_mt+K77</f>
        <v>0</v>
      </c>
    </row>
    <row r="43" spans="1:14" s="25" customFormat="1" ht="27" customHeight="1" x14ac:dyDescent="0.25">
      <c r="A43" s="43"/>
      <c r="B43" s="260" t="str">
        <f>lb_4</f>
        <v>Ghi chú: BHXH, BHYT, BHTN = (Hệ số lương + Chức vụ + Vượt khung + Thâm niên nghề) x1.390.000 x Hệ số BHXH, BHYT, BHTN</v>
      </c>
      <c r="C43" s="260"/>
      <c r="D43" s="260"/>
      <c r="E43" s="260"/>
      <c r="F43" s="260"/>
      <c r="G43" s="260"/>
      <c r="H43" s="260"/>
      <c r="I43" s="260"/>
      <c r="J43" s="260"/>
      <c r="K43" s="260"/>
      <c r="L43" s="260"/>
    </row>
    <row r="44" spans="1:14" s="2" customFormat="1" x14ac:dyDescent="0.25">
      <c r="I44" s="256" t="str">
        <f>ngay</f>
        <v>Tây Ninh, ngày 01 tháng 7 năm 2019</v>
      </c>
      <c r="J44" s="256"/>
      <c r="K44" s="256"/>
      <c r="L44" s="256"/>
    </row>
    <row r="45" spans="1:14" s="15" customFormat="1" ht="33.75" customHeight="1" x14ac:dyDescent="0.25">
      <c r="A45" s="20"/>
      <c r="B45" s="251" t="s">
        <v>72</v>
      </c>
      <c r="C45" s="251"/>
      <c r="D45" s="251"/>
      <c r="E45" s="251" t="s">
        <v>73</v>
      </c>
      <c r="F45" s="251"/>
      <c r="G45" s="251"/>
      <c r="H45" s="251"/>
      <c r="I45" s="252" t="s">
        <v>71</v>
      </c>
      <c r="J45" s="252"/>
      <c r="K45" s="252"/>
      <c r="L45" s="252"/>
    </row>
    <row r="46" spans="1:14" x14ac:dyDescent="0.25">
      <c r="C46" s="13"/>
      <c r="E46" s="4"/>
      <c r="F46" s="4"/>
      <c r="G46" s="13"/>
      <c r="I46" s="4"/>
      <c r="J46" s="4"/>
      <c r="K46" s="4"/>
    </row>
    <row r="47" spans="1:14" x14ac:dyDescent="0.25">
      <c r="E47" s="4"/>
      <c r="F47" s="4"/>
      <c r="I47" s="4"/>
      <c r="J47" s="4"/>
      <c r="K47" s="4"/>
    </row>
    <row r="48" spans="1:14" x14ac:dyDescent="0.25">
      <c r="E48" s="4"/>
      <c r="F48" s="4"/>
      <c r="G48" s="86"/>
      <c r="H48" s="86"/>
      <c r="I48" s="4"/>
      <c r="J48" s="4"/>
      <c r="K48" s="4"/>
    </row>
    <row r="49" spans="1:12" x14ac:dyDescent="0.25">
      <c r="E49" s="4"/>
      <c r="F49" s="4"/>
      <c r="I49" s="4"/>
      <c r="J49" s="4"/>
      <c r="K49" s="4"/>
    </row>
    <row r="52" spans="1:12" x14ac:dyDescent="0.25">
      <c r="A52" s="27"/>
      <c r="B52" s="261" t="s">
        <v>283</v>
      </c>
      <c r="C52" s="261"/>
      <c r="D52" s="261"/>
      <c r="E52" s="261" t="str">
        <f>lb_2</f>
        <v>Nguyễn Văn Cường</v>
      </c>
      <c r="F52" s="261"/>
      <c r="G52" s="261"/>
      <c r="H52" s="261"/>
      <c r="I52" s="257">
        <f>lb_3</f>
        <v>0</v>
      </c>
      <c r="J52" s="257"/>
      <c r="K52" s="257"/>
      <c r="L52" s="257"/>
    </row>
    <row r="55" spans="1:12" s="7" customFormat="1" ht="13.5" customHeight="1" x14ac:dyDescent="0.25">
      <c r="A55" s="71"/>
      <c r="B55" s="252" t="s">
        <v>27</v>
      </c>
      <c r="C55" s="252"/>
      <c r="D55" s="252"/>
      <c r="E55" s="252"/>
      <c r="F55" s="251" t="s">
        <v>29</v>
      </c>
      <c r="G55" s="251"/>
      <c r="H55" s="251"/>
      <c r="I55" s="251"/>
      <c r="J55" s="251"/>
      <c r="K55" s="251"/>
      <c r="L55" s="251"/>
    </row>
    <row r="56" spans="1:12" s="7" customFormat="1" ht="13.5" customHeight="1" x14ac:dyDescent="0.25">
      <c r="A56" s="71"/>
      <c r="B56" s="252" t="s">
        <v>28</v>
      </c>
      <c r="C56" s="252"/>
      <c r="D56" s="252"/>
      <c r="E56" s="252"/>
      <c r="F56" s="251" t="s">
        <v>30</v>
      </c>
      <c r="G56" s="251"/>
      <c r="H56" s="251"/>
      <c r="I56" s="251"/>
      <c r="J56" s="251"/>
      <c r="K56" s="251"/>
      <c r="L56" s="251"/>
    </row>
    <row r="57" spans="1:12" s="7" customFormat="1" ht="20.25" customHeight="1" x14ac:dyDescent="0.3">
      <c r="A57" s="72"/>
      <c r="B57" s="253" t="s">
        <v>307</v>
      </c>
      <c r="C57" s="253"/>
      <c r="D57" s="253"/>
      <c r="E57" s="253"/>
      <c r="F57" s="253"/>
      <c r="G57" s="253"/>
      <c r="H57" s="253"/>
      <c r="I57" s="253"/>
      <c r="J57" s="253"/>
      <c r="K57" s="253"/>
      <c r="L57" s="253"/>
    </row>
    <row r="58" spans="1:12" s="7" customFormat="1" ht="16.5" customHeight="1" x14ac:dyDescent="0.25">
      <c r="A58" s="73"/>
      <c r="B58" s="250" t="str">
        <f>thang</f>
        <v>Tháng 7 Năm 2019</v>
      </c>
      <c r="C58" s="250"/>
      <c r="D58" s="250"/>
      <c r="E58" s="250"/>
      <c r="F58" s="250"/>
      <c r="G58" s="250"/>
      <c r="H58" s="250"/>
      <c r="I58" s="250"/>
      <c r="J58" s="250"/>
      <c r="K58" s="250"/>
      <c r="L58" s="250"/>
    </row>
    <row r="59" spans="1:12" s="45" customFormat="1" ht="36" x14ac:dyDescent="0.25">
      <c r="A59" s="44" t="s">
        <v>68</v>
      </c>
      <c r="B59" s="44" t="s">
        <v>22</v>
      </c>
      <c r="C59" s="44" t="s">
        <v>23</v>
      </c>
      <c r="D59" s="44" t="s">
        <v>2</v>
      </c>
      <c r="E59" s="44" t="s">
        <v>114</v>
      </c>
      <c r="F59" s="44" t="s">
        <v>281</v>
      </c>
      <c r="G59" s="44" t="s">
        <v>281</v>
      </c>
      <c r="H59" s="44" t="s">
        <v>303</v>
      </c>
      <c r="I59" s="44" t="s">
        <v>304</v>
      </c>
      <c r="J59" s="44" t="s">
        <v>305</v>
      </c>
      <c r="K59" s="44" t="s">
        <v>306</v>
      </c>
      <c r="L59" s="44" t="s">
        <v>101</v>
      </c>
    </row>
    <row r="60" spans="1:12" s="45" customFormat="1" ht="15" customHeight="1" x14ac:dyDescent="0.25">
      <c r="A60" s="44" t="s">
        <v>309</v>
      </c>
      <c r="B60" s="44" t="s">
        <v>310</v>
      </c>
      <c r="C60" s="44">
        <v>1</v>
      </c>
      <c r="D60" s="44">
        <v>2</v>
      </c>
      <c r="E60" s="44">
        <v>3</v>
      </c>
      <c r="F60" s="44" t="s">
        <v>311</v>
      </c>
      <c r="G60" s="44" t="s">
        <v>312</v>
      </c>
      <c r="H60" s="44">
        <v>6</v>
      </c>
      <c r="I60" s="44" t="str">
        <f>I6</f>
        <v>7=5*1.150.000</v>
      </c>
      <c r="J60" s="44" t="str">
        <f>J6</f>
        <v>8=6*1.150.000</v>
      </c>
      <c r="K60" s="44" t="s">
        <v>313</v>
      </c>
      <c r="L60" s="44">
        <v>10</v>
      </c>
    </row>
    <row r="61" spans="1:12" s="51" customFormat="1" ht="16.5" customHeight="1" x14ac:dyDescent="0.25">
      <c r="A61" s="46"/>
      <c r="B61" s="84" t="s">
        <v>340</v>
      </c>
      <c r="C61" s="55">
        <f t="shared" ref="C61:K61" si="21">SUM(C62:C65)</f>
        <v>9.02</v>
      </c>
      <c r="D61" s="55">
        <f t="shared" si="21"/>
        <v>0</v>
      </c>
      <c r="E61" s="55">
        <f t="shared" si="21"/>
        <v>0</v>
      </c>
      <c r="F61" s="55">
        <f t="shared" si="21"/>
        <v>9.02</v>
      </c>
      <c r="G61" s="55">
        <f t="shared" si="21"/>
        <v>0</v>
      </c>
      <c r="H61" s="55">
        <f t="shared" si="21"/>
        <v>0</v>
      </c>
      <c r="I61" s="56">
        <f t="shared" si="21"/>
        <v>0</v>
      </c>
      <c r="J61" s="56">
        <f t="shared" si="21"/>
        <v>0</v>
      </c>
      <c r="K61" s="56">
        <f t="shared" si="21"/>
        <v>0</v>
      </c>
      <c r="L61" s="48"/>
    </row>
    <row r="62" spans="1:12" s="51" customFormat="1" ht="16.5" customHeight="1" x14ac:dyDescent="0.25">
      <c r="A62" s="46" t="s">
        <v>248</v>
      </c>
      <c r="B62" s="47" t="str">
        <f t="shared" ref="B62:B76" si="22">VLOOKUP(matrocap,nhanvien,2,FALSE)</f>
        <v>Lâm Văn Tâm</v>
      </c>
      <c r="C62" s="49">
        <f t="shared" ref="C62:C76" si="23">VLOOKUP(matrocap,nhanvien,5,FALSE)</f>
        <v>2.04</v>
      </c>
      <c r="D62" s="49">
        <f t="shared" ref="D62:D76" si="24">VLOOKUP(matrocap,nhanvien,8,FALSE)</f>
        <v>0</v>
      </c>
      <c r="E62" s="49">
        <f t="shared" ref="E62:E76" si="25">VLOOKUP(matrocap,nhanvien,11,FALSE)</f>
        <v>0</v>
      </c>
      <c r="F62" s="49">
        <f>SUM(C62:E62)</f>
        <v>2.04</v>
      </c>
      <c r="G62" s="49">
        <f t="shared" ref="G62:G76" si="26">VLOOKUP(matrocap,nhanvien,35,FALSE)</f>
        <v>0</v>
      </c>
      <c r="H62" s="49">
        <f t="shared" ref="H62:H76" si="27">VLOOKUP(matrocap,nhanvien,38,FALSE)</f>
        <v>0</v>
      </c>
      <c r="I62" s="50">
        <f t="shared" ref="I62:J65" si="28">G62*luongcanban</f>
        <v>0</v>
      </c>
      <c r="J62" s="50">
        <f t="shared" si="28"/>
        <v>0</v>
      </c>
      <c r="K62" s="50">
        <f>SUM(I62:J62)</f>
        <v>0</v>
      </c>
      <c r="L62" s="48">
        <f t="shared" ref="L62:L76" si="29">VLOOKUP(matrocap,nhanvien,39,FALSE)</f>
        <v>0</v>
      </c>
    </row>
    <row r="63" spans="1:12" s="51" customFormat="1" ht="16.5" customHeight="1" x14ac:dyDescent="0.25">
      <c r="A63" s="46" t="s">
        <v>249</v>
      </c>
      <c r="B63" s="47" t="str">
        <f t="shared" si="22"/>
        <v>Vương Thế Vinh</v>
      </c>
      <c r="C63" s="49">
        <f t="shared" si="23"/>
        <v>2.46</v>
      </c>
      <c r="D63" s="49">
        <f t="shared" si="24"/>
        <v>0</v>
      </c>
      <c r="E63" s="49">
        <f t="shared" si="25"/>
        <v>0</v>
      </c>
      <c r="F63" s="49">
        <f>SUM(C63:E63)</f>
        <v>2.46</v>
      </c>
      <c r="G63" s="49">
        <f t="shared" si="26"/>
        <v>0</v>
      </c>
      <c r="H63" s="49">
        <f t="shared" si="27"/>
        <v>0</v>
      </c>
      <c r="I63" s="50">
        <f t="shared" si="28"/>
        <v>0</v>
      </c>
      <c r="J63" s="50">
        <f t="shared" si="28"/>
        <v>0</v>
      </c>
      <c r="K63" s="50">
        <f>SUM(I63:J63)</f>
        <v>0</v>
      </c>
      <c r="L63" s="48">
        <f t="shared" si="29"/>
        <v>0</v>
      </c>
    </row>
    <row r="64" spans="1:12" s="51" customFormat="1" ht="16.5" customHeight="1" x14ac:dyDescent="0.25">
      <c r="A64" s="46" t="s">
        <v>250</v>
      </c>
      <c r="B64" s="47" t="str">
        <f t="shared" si="22"/>
        <v>Trần Văn Phong</v>
      </c>
      <c r="C64" s="49">
        <f t="shared" si="23"/>
        <v>2.66</v>
      </c>
      <c r="D64" s="49">
        <f t="shared" si="24"/>
        <v>0</v>
      </c>
      <c r="E64" s="49">
        <f t="shared" si="25"/>
        <v>0</v>
      </c>
      <c r="F64" s="49">
        <f>SUM(C64:E64)</f>
        <v>2.66</v>
      </c>
      <c r="G64" s="49">
        <f t="shared" si="26"/>
        <v>0</v>
      </c>
      <c r="H64" s="49">
        <f t="shared" si="27"/>
        <v>0</v>
      </c>
      <c r="I64" s="50">
        <f t="shared" si="28"/>
        <v>0</v>
      </c>
      <c r="J64" s="50">
        <f t="shared" si="28"/>
        <v>0</v>
      </c>
      <c r="K64" s="50">
        <f>SUM(I64:J64)</f>
        <v>0</v>
      </c>
      <c r="L64" s="48">
        <f t="shared" si="29"/>
        <v>0</v>
      </c>
    </row>
    <row r="65" spans="1:14" s="51" customFormat="1" ht="16.5" customHeight="1" x14ac:dyDescent="0.25">
      <c r="A65" s="46" t="s">
        <v>258</v>
      </c>
      <c r="B65" s="47" t="str">
        <f t="shared" si="22"/>
        <v>Nguyễn Minh Phương</v>
      </c>
      <c r="C65" s="49">
        <f t="shared" si="23"/>
        <v>1.86</v>
      </c>
      <c r="D65" s="49">
        <f t="shared" si="24"/>
        <v>0</v>
      </c>
      <c r="E65" s="49">
        <f t="shared" si="25"/>
        <v>0</v>
      </c>
      <c r="F65" s="49">
        <f>SUM(C65:E65)</f>
        <v>1.86</v>
      </c>
      <c r="G65" s="49">
        <f t="shared" si="26"/>
        <v>0</v>
      </c>
      <c r="H65" s="49">
        <f t="shared" si="27"/>
        <v>0</v>
      </c>
      <c r="I65" s="50">
        <f t="shared" si="28"/>
        <v>0</v>
      </c>
      <c r="J65" s="50">
        <f t="shared" si="28"/>
        <v>0</v>
      </c>
      <c r="K65" s="50">
        <f>SUM(I65:J65)</f>
        <v>0</v>
      </c>
      <c r="L65" s="48">
        <f t="shared" si="29"/>
        <v>0</v>
      </c>
    </row>
    <row r="66" spans="1:14" s="51" customFormat="1" ht="16.5" customHeight="1" x14ac:dyDescent="0.25">
      <c r="A66" s="46"/>
      <c r="B66" s="84" t="s">
        <v>339</v>
      </c>
      <c r="C66" s="55">
        <f t="shared" ref="C66:K66" si="30">SUM(C67:C76)</f>
        <v>25.049999999999997</v>
      </c>
      <c r="D66" s="55">
        <f t="shared" si="30"/>
        <v>0</v>
      </c>
      <c r="E66" s="55">
        <f t="shared" si="30"/>
        <v>0</v>
      </c>
      <c r="F66" s="55">
        <f t="shared" si="30"/>
        <v>25.049999999999997</v>
      </c>
      <c r="G66" s="55">
        <f t="shared" si="30"/>
        <v>0</v>
      </c>
      <c r="H66" s="55">
        <f t="shared" si="30"/>
        <v>0</v>
      </c>
      <c r="I66" s="56">
        <f t="shared" si="30"/>
        <v>0</v>
      </c>
      <c r="J66" s="56">
        <f t="shared" si="30"/>
        <v>0</v>
      </c>
      <c r="K66" s="56">
        <f t="shared" si="30"/>
        <v>0</v>
      </c>
      <c r="L66" s="48"/>
    </row>
    <row r="67" spans="1:14" s="51" customFormat="1" ht="16.5" customHeight="1" x14ac:dyDescent="0.25">
      <c r="A67" s="46" t="s">
        <v>226</v>
      </c>
      <c r="B67" s="47" t="str">
        <f t="shared" si="22"/>
        <v>Nguyễn Thanh Xuân</v>
      </c>
      <c r="C67" s="49">
        <f t="shared" si="23"/>
        <v>2.67</v>
      </c>
      <c r="D67" s="49">
        <f t="shared" si="24"/>
        <v>0</v>
      </c>
      <c r="E67" s="49">
        <f t="shared" si="25"/>
        <v>0</v>
      </c>
      <c r="F67" s="49">
        <f t="shared" ref="F67:F72" si="31">SUM(C67:E67)</f>
        <v>2.67</v>
      </c>
      <c r="G67" s="49">
        <f t="shared" si="26"/>
        <v>0</v>
      </c>
      <c r="H67" s="49">
        <f t="shared" si="27"/>
        <v>0</v>
      </c>
      <c r="I67" s="50">
        <f>G67*luongcanban</f>
        <v>0</v>
      </c>
      <c r="J67" s="50">
        <f>H67*luongcanban</f>
        <v>0</v>
      </c>
      <c r="K67" s="50">
        <f t="shared" ref="K67:K72" si="32">SUM(I67:J67)</f>
        <v>0</v>
      </c>
      <c r="L67" s="48">
        <f t="shared" si="29"/>
        <v>0</v>
      </c>
    </row>
    <row r="68" spans="1:14" s="51" customFormat="1" ht="16.5" customHeight="1" x14ac:dyDescent="0.25">
      <c r="A68" s="46" t="s">
        <v>227</v>
      </c>
      <c r="B68" s="47" t="str">
        <f t="shared" si="22"/>
        <v>Nguyễn Duy Kỳ</v>
      </c>
      <c r="C68" s="49">
        <f t="shared" si="23"/>
        <v>2.67</v>
      </c>
      <c r="D68" s="49">
        <f t="shared" si="24"/>
        <v>0</v>
      </c>
      <c r="E68" s="49">
        <f t="shared" si="25"/>
        <v>0</v>
      </c>
      <c r="F68" s="49">
        <f t="shared" si="31"/>
        <v>2.67</v>
      </c>
      <c r="G68" s="49">
        <f t="shared" si="26"/>
        <v>0</v>
      </c>
      <c r="H68" s="49">
        <f t="shared" si="27"/>
        <v>0</v>
      </c>
      <c r="I68" s="50">
        <f>G68*luongcanban</f>
        <v>0</v>
      </c>
      <c r="J68" s="50">
        <f>H68*luongcanban</f>
        <v>0</v>
      </c>
      <c r="K68" s="50">
        <f t="shared" si="32"/>
        <v>0</v>
      </c>
      <c r="L68" s="48">
        <f t="shared" si="29"/>
        <v>0</v>
      </c>
    </row>
    <row r="69" spans="1:14" s="51" customFormat="1" ht="16.5" customHeight="1" x14ac:dyDescent="0.25">
      <c r="A69" s="46" t="s">
        <v>228</v>
      </c>
      <c r="B69" s="47" t="str">
        <f t="shared" si="22"/>
        <v>Nguyễn Lộc Vĩnh</v>
      </c>
      <c r="C69" s="49">
        <f t="shared" si="23"/>
        <v>3</v>
      </c>
      <c r="D69" s="49">
        <f t="shared" si="24"/>
        <v>0</v>
      </c>
      <c r="E69" s="49">
        <f t="shared" si="25"/>
        <v>0</v>
      </c>
      <c r="F69" s="49">
        <f t="shared" si="31"/>
        <v>3</v>
      </c>
      <c r="G69" s="49">
        <f t="shared" si="26"/>
        <v>0</v>
      </c>
      <c r="H69" s="49">
        <f t="shared" si="27"/>
        <v>0</v>
      </c>
      <c r="I69" s="50">
        <f t="shared" ref="I69:I75" si="33">G69*luongcanban</f>
        <v>0</v>
      </c>
      <c r="J69" s="50">
        <f t="shared" ref="J69:J75" si="34">H69*luongcanban</f>
        <v>0</v>
      </c>
      <c r="K69" s="50">
        <f t="shared" si="32"/>
        <v>0</v>
      </c>
      <c r="L69" s="48">
        <f t="shared" si="29"/>
        <v>0</v>
      </c>
    </row>
    <row r="70" spans="1:14" s="51" customFormat="1" ht="16.5" customHeight="1" x14ac:dyDescent="0.25">
      <c r="A70" s="46" t="s">
        <v>229</v>
      </c>
      <c r="B70" s="47" t="str">
        <f t="shared" si="22"/>
        <v>Trương Văn Thạch</v>
      </c>
      <c r="C70" s="49">
        <f t="shared" si="23"/>
        <v>2.67</v>
      </c>
      <c r="D70" s="49">
        <f t="shared" si="24"/>
        <v>0</v>
      </c>
      <c r="E70" s="49">
        <f t="shared" si="25"/>
        <v>0</v>
      </c>
      <c r="F70" s="49">
        <f t="shared" si="31"/>
        <v>2.67</v>
      </c>
      <c r="G70" s="49">
        <f t="shared" si="26"/>
        <v>0</v>
      </c>
      <c r="H70" s="49">
        <f t="shared" si="27"/>
        <v>0</v>
      </c>
      <c r="I70" s="50">
        <f t="shared" si="33"/>
        <v>0</v>
      </c>
      <c r="J70" s="50">
        <f t="shared" si="34"/>
        <v>0</v>
      </c>
      <c r="K70" s="50">
        <f t="shared" si="32"/>
        <v>0</v>
      </c>
      <c r="L70" s="48">
        <f t="shared" si="29"/>
        <v>0</v>
      </c>
    </row>
    <row r="71" spans="1:14" s="51" customFormat="1" ht="16.5" customHeight="1" x14ac:dyDescent="0.25">
      <c r="A71" s="46" t="s">
        <v>230</v>
      </c>
      <c r="B71" s="47" t="str">
        <f t="shared" si="22"/>
        <v>Nguyễn Thị Cẩm Nhung</v>
      </c>
      <c r="C71" s="49">
        <f t="shared" si="23"/>
        <v>2.67</v>
      </c>
      <c r="D71" s="49">
        <f t="shared" si="24"/>
        <v>0</v>
      </c>
      <c r="E71" s="49">
        <f t="shared" si="25"/>
        <v>0</v>
      </c>
      <c r="F71" s="49">
        <f t="shared" si="31"/>
        <v>2.67</v>
      </c>
      <c r="G71" s="49">
        <f t="shared" si="26"/>
        <v>0</v>
      </c>
      <c r="H71" s="49">
        <f t="shared" si="27"/>
        <v>0</v>
      </c>
      <c r="I71" s="50">
        <f t="shared" si="33"/>
        <v>0</v>
      </c>
      <c r="J71" s="50">
        <f t="shared" si="34"/>
        <v>0</v>
      </c>
      <c r="K71" s="50">
        <f t="shared" si="32"/>
        <v>0</v>
      </c>
      <c r="L71" s="48">
        <f t="shared" si="29"/>
        <v>0</v>
      </c>
    </row>
    <row r="72" spans="1:14" s="51" customFormat="1" ht="16.5" customHeight="1" x14ac:dyDescent="0.25">
      <c r="A72" s="46" t="s">
        <v>231</v>
      </c>
      <c r="B72" s="47" t="str">
        <f t="shared" si="22"/>
        <v>Võ Văn Đô</v>
      </c>
      <c r="C72" s="49">
        <f t="shared" si="23"/>
        <v>3.49</v>
      </c>
      <c r="D72" s="49">
        <f t="shared" si="24"/>
        <v>0</v>
      </c>
      <c r="E72" s="49">
        <f t="shared" si="25"/>
        <v>0</v>
      </c>
      <c r="F72" s="49">
        <f t="shared" si="31"/>
        <v>3.49</v>
      </c>
      <c r="G72" s="49">
        <f t="shared" si="26"/>
        <v>0</v>
      </c>
      <c r="H72" s="49">
        <f t="shared" si="27"/>
        <v>0</v>
      </c>
      <c r="I72" s="50">
        <f t="shared" si="33"/>
        <v>0</v>
      </c>
      <c r="J72" s="50">
        <f t="shared" si="34"/>
        <v>0</v>
      </c>
      <c r="K72" s="50">
        <f t="shared" si="32"/>
        <v>0</v>
      </c>
      <c r="L72" s="48">
        <f t="shared" si="29"/>
        <v>0</v>
      </c>
    </row>
    <row r="73" spans="1:14" s="51" customFormat="1" ht="16.5" customHeight="1" x14ac:dyDescent="0.25">
      <c r="A73" s="46" t="s">
        <v>232</v>
      </c>
      <c r="B73" s="47" t="str">
        <f t="shared" si="22"/>
        <v>Nguyễn Văn Giàu</v>
      </c>
      <c r="C73" s="49">
        <f t="shared" si="23"/>
        <v>2.58</v>
      </c>
      <c r="D73" s="49">
        <f t="shared" si="24"/>
        <v>0</v>
      </c>
      <c r="E73" s="49">
        <f t="shared" si="25"/>
        <v>0</v>
      </c>
      <c r="F73" s="49">
        <f>SUM(C73:E73)</f>
        <v>2.58</v>
      </c>
      <c r="G73" s="49">
        <f t="shared" si="26"/>
        <v>0</v>
      </c>
      <c r="H73" s="49">
        <f t="shared" si="27"/>
        <v>0</v>
      </c>
      <c r="I73" s="50">
        <f t="shared" si="33"/>
        <v>0</v>
      </c>
      <c r="J73" s="50">
        <f t="shared" si="34"/>
        <v>0</v>
      </c>
      <c r="K73" s="50">
        <f>SUM(I73:J73)</f>
        <v>0</v>
      </c>
      <c r="L73" s="48">
        <f t="shared" si="29"/>
        <v>0</v>
      </c>
    </row>
    <row r="74" spans="1:14" s="51" customFormat="1" ht="16.5" customHeight="1" x14ac:dyDescent="0.25">
      <c r="A74" s="46" t="s">
        <v>233</v>
      </c>
      <c r="B74" s="47" t="str">
        <f t="shared" si="22"/>
        <v>Nguyễn Thị Sa Ly</v>
      </c>
      <c r="C74" s="49">
        <f t="shared" si="23"/>
        <v>1</v>
      </c>
      <c r="D74" s="49">
        <f t="shared" si="24"/>
        <v>0</v>
      </c>
      <c r="E74" s="49">
        <f t="shared" si="25"/>
        <v>0</v>
      </c>
      <c r="F74" s="49">
        <f>SUM(C74:E74)</f>
        <v>1</v>
      </c>
      <c r="G74" s="49">
        <f t="shared" si="26"/>
        <v>0</v>
      </c>
      <c r="H74" s="49">
        <f t="shared" si="27"/>
        <v>0</v>
      </c>
      <c r="I74" s="50">
        <f t="shared" si="33"/>
        <v>0</v>
      </c>
      <c r="J74" s="50">
        <f t="shared" si="34"/>
        <v>0</v>
      </c>
      <c r="K74" s="50">
        <f>SUM(I74:J74)</f>
        <v>0</v>
      </c>
      <c r="L74" s="48">
        <f t="shared" si="29"/>
        <v>0</v>
      </c>
    </row>
    <row r="75" spans="1:14" s="51" customFormat="1" ht="16.5" customHeight="1" x14ac:dyDescent="0.25">
      <c r="A75" s="46" t="s">
        <v>242</v>
      </c>
      <c r="B75" s="47" t="str">
        <f t="shared" si="22"/>
        <v>Trần Thị Nhung</v>
      </c>
      <c r="C75" s="49">
        <f t="shared" si="23"/>
        <v>2.08</v>
      </c>
      <c r="D75" s="49">
        <f t="shared" si="24"/>
        <v>0</v>
      </c>
      <c r="E75" s="49">
        <f t="shared" si="25"/>
        <v>0</v>
      </c>
      <c r="F75" s="49">
        <f>SUM(C75:E75)</f>
        <v>2.08</v>
      </c>
      <c r="G75" s="49">
        <f t="shared" si="26"/>
        <v>0</v>
      </c>
      <c r="H75" s="49">
        <f t="shared" si="27"/>
        <v>0</v>
      </c>
      <c r="I75" s="50">
        <f t="shared" si="33"/>
        <v>0</v>
      </c>
      <c r="J75" s="50">
        <f t="shared" si="34"/>
        <v>0</v>
      </c>
      <c r="K75" s="50">
        <f>SUM(I75:J75)</f>
        <v>0</v>
      </c>
      <c r="L75" s="48">
        <f t="shared" si="29"/>
        <v>0</v>
      </c>
    </row>
    <row r="76" spans="1:14" s="51" customFormat="1" ht="16.5" customHeight="1" x14ac:dyDescent="0.25">
      <c r="A76" s="46" t="s">
        <v>247</v>
      </c>
      <c r="B76" s="47" t="str">
        <f t="shared" si="22"/>
        <v>Nguyễn Hoàng Nhu</v>
      </c>
      <c r="C76" s="49">
        <f t="shared" si="23"/>
        <v>2.2200000000000002</v>
      </c>
      <c r="D76" s="49">
        <f t="shared" si="24"/>
        <v>0</v>
      </c>
      <c r="E76" s="49">
        <f t="shared" si="25"/>
        <v>0</v>
      </c>
      <c r="F76" s="49">
        <f>SUM(C76:E76)</f>
        <v>2.2200000000000002</v>
      </c>
      <c r="G76" s="49">
        <f t="shared" si="26"/>
        <v>0</v>
      </c>
      <c r="H76" s="49">
        <f t="shared" si="27"/>
        <v>0</v>
      </c>
      <c r="I76" s="50">
        <f>G76*luongcanban</f>
        <v>0</v>
      </c>
      <c r="J76" s="50">
        <f>H76*luongcanban</f>
        <v>0</v>
      </c>
      <c r="K76" s="50">
        <f>SUM(I76:J76)</f>
        <v>0</v>
      </c>
      <c r="L76" s="48">
        <f t="shared" si="29"/>
        <v>0</v>
      </c>
    </row>
    <row r="77" spans="1:14" s="57" customFormat="1" ht="15" customHeight="1" x14ac:dyDescent="0.25">
      <c r="A77" s="52"/>
      <c r="B77" s="61" t="s">
        <v>49</v>
      </c>
      <c r="C77" s="55">
        <f t="shared" ref="C77:K77" si="35">SUM(C61:C76)/2</f>
        <v>34.07</v>
      </c>
      <c r="D77" s="55">
        <f t="shared" si="35"/>
        <v>0</v>
      </c>
      <c r="E77" s="55">
        <f t="shared" si="35"/>
        <v>0</v>
      </c>
      <c r="F77" s="55">
        <f t="shared" si="35"/>
        <v>34.07</v>
      </c>
      <c r="G77" s="55">
        <f t="shared" si="35"/>
        <v>0</v>
      </c>
      <c r="H77" s="55">
        <f t="shared" si="35"/>
        <v>0</v>
      </c>
      <c r="I77" s="56">
        <f t="shared" si="35"/>
        <v>0</v>
      </c>
      <c r="J77" s="56">
        <f t="shared" si="35"/>
        <v>0</v>
      </c>
      <c r="K77" s="56">
        <f t="shared" si="35"/>
        <v>0</v>
      </c>
      <c r="L77" s="50"/>
      <c r="N77" s="101">
        <f>K77+thuclinh_mt</f>
        <v>0</v>
      </c>
    </row>
    <row r="78" spans="1:14" s="25" customFormat="1" ht="21" customHeight="1" x14ac:dyDescent="0.25">
      <c r="A78" s="43"/>
      <c r="B78" s="260" t="str">
        <f>lb_4</f>
        <v>Ghi chú: BHXH, BHYT, BHTN = (Hệ số lương + Chức vụ + Vượt khung + Thâm niên nghề) x1.390.000 x Hệ số BHXH, BHYT, BHTN</v>
      </c>
      <c r="C78" s="260"/>
      <c r="D78" s="260"/>
      <c r="E78" s="260"/>
      <c r="F78" s="260"/>
      <c r="G78" s="260"/>
      <c r="H78" s="260"/>
      <c r="I78" s="260"/>
      <c r="J78" s="260"/>
      <c r="K78" s="260"/>
      <c r="L78" s="260"/>
      <c r="N78" s="110">
        <f>K77+thuclinh_mt</f>
        <v>0</v>
      </c>
    </row>
    <row r="79" spans="1:14" s="2" customFormat="1" x14ac:dyDescent="0.25">
      <c r="I79" s="256" t="str">
        <f>ngay</f>
        <v>Tây Ninh, ngày 01 tháng 7 năm 2019</v>
      </c>
      <c r="J79" s="256"/>
      <c r="K79" s="256"/>
      <c r="L79" s="256"/>
    </row>
    <row r="80" spans="1:14" s="15" customFormat="1" ht="33.75" customHeight="1" x14ac:dyDescent="0.25">
      <c r="A80" s="20"/>
      <c r="B80" s="251" t="s">
        <v>72</v>
      </c>
      <c r="C80" s="251"/>
      <c r="D80" s="251"/>
      <c r="E80" s="251" t="s">
        <v>73</v>
      </c>
      <c r="F80" s="251"/>
      <c r="G80" s="251"/>
      <c r="H80" s="251"/>
      <c r="I80" s="252" t="s">
        <v>71</v>
      </c>
      <c r="J80" s="252"/>
      <c r="K80" s="252"/>
      <c r="L80" s="252"/>
    </row>
    <row r="81" spans="1:12" x14ac:dyDescent="0.25">
      <c r="C81" s="13"/>
      <c r="E81" s="4"/>
      <c r="F81" s="4"/>
      <c r="G81" s="13"/>
      <c r="I81" s="4"/>
      <c r="J81" s="4"/>
      <c r="K81" s="4"/>
    </row>
    <row r="82" spans="1:12" x14ac:dyDescent="0.25">
      <c r="E82" s="4"/>
      <c r="F82" s="4"/>
      <c r="I82" s="4"/>
      <c r="J82" s="4"/>
      <c r="K82" s="4"/>
    </row>
    <row r="83" spans="1:12" x14ac:dyDescent="0.25">
      <c r="E83" s="4"/>
      <c r="F83" s="4"/>
      <c r="I83" s="4"/>
      <c r="J83" s="4"/>
      <c r="K83" s="4"/>
    </row>
    <row r="84" spans="1:12" x14ac:dyDescent="0.25">
      <c r="E84" s="4"/>
      <c r="F84" s="4"/>
      <c r="I84" s="4"/>
      <c r="J84" s="4"/>
      <c r="K84" s="4"/>
    </row>
    <row r="85" spans="1:12" x14ac:dyDescent="0.25">
      <c r="A85" s="27"/>
      <c r="B85" s="261" t="s">
        <v>283</v>
      </c>
      <c r="C85" s="261"/>
      <c r="D85" s="261"/>
      <c r="E85" s="261" t="str">
        <f>lb_2</f>
        <v>Nguyễn Văn Cường</v>
      </c>
      <c r="F85" s="261"/>
      <c r="G85" s="261"/>
      <c r="H85" s="261"/>
      <c r="I85" s="257">
        <f>lb_3</f>
        <v>0</v>
      </c>
      <c r="J85" s="257"/>
      <c r="K85" s="257"/>
      <c r="L85" s="257"/>
    </row>
  </sheetData>
  <mergeCells count="28">
    <mergeCell ref="A1:E1"/>
    <mergeCell ref="A2:E2"/>
    <mergeCell ref="F1:L1"/>
    <mergeCell ref="F2:L2"/>
    <mergeCell ref="I52:L52"/>
    <mergeCell ref="I44:L44"/>
    <mergeCell ref="B52:D52"/>
    <mergeCell ref="E45:H45"/>
    <mergeCell ref="E52:H52"/>
    <mergeCell ref="I45:L45"/>
    <mergeCell ref="A3:L3"/>
    <mergeCell ref="A4:L4"/>
    <mergeCell ref="B43:L43"/>
    <mergeCell ref="B45:D45"/>
    <mergeCell ref="B85:D85"/>
    <mergeCell ref="E85:H85"/>
    <mergeCell ref="F55:L55"/>
    <mergeCell ref="F56:L56"/>
    <mergeCell ref="I85:L85"/>
    <mergeCell ref="B78:L78"/>
    <mergeCell ref="I79:L79"/>
    <mergeCell ref="I80:L80"/>
    <mergeCell ref="B80:D80"/>
    <mergeCell ref="E80:H80"/>
    <mergeCell ref="B55:E55"/>
    <mergeCell ref="B56:E56"/>
    <mergeCell ref="B57:L57"/>
    <mergeCell ref="B58:L58"/>
  </mergeCells>
  <phoneticPr fontId="3" type="noConversion"/>
  <pageMargins left="0.25" right="0.14000000000000001" top="0.23" bottom="0.2" header="0.2" footer="0.2"/>
  <pageSetup scale="95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3"/>
  </sheetPr>
  <dimension ref="A1:T26"/>
  <sheetViews>
    <sheetView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O21" sqref="O21"/>
    </sheetView>
  </sheetViews>
  <sheetFormatPr defaultColWidth="9.109375" defaultRowHeight="13.2" x14ac:dyDescent="0.25"/>
  <cols>
    <col min="1" max="1" width="4.33203125" style="1" customWidth="1"/>
    <col min="2" max="2" width="17.5546875" style="1" customWidth="1"/>
    <col min="3" max="13" width="10.6640625" style="1" customWidth="1"/>
    <col min="14" max="15" width="9" style="1" customWidth="1"/>
    <col min="16" max="16" width="11.44140625" style="1" customWidth="1"/>
    <col min="17" max="17" width="12.6640625" style="1" customWidth="1"/>
    <col min="18" max="16384" width="9.109375" style="1"/>
  </cols>
  <sheetData>
    <row r="1" spans="1:20" s="7" customFormat="1" ht="13.5" customHeight="1" x14ac:dyDescent="0.25">
      <c r="A1" s="252" t="s">
        <v>27</v>
      </c>
      <c r="B1" s="252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62"/>
    </row>
    <row r="2" spans="1:20" s="7" customFormat="1" ht="13.5" customHeight="1" x14ac:dyDescent="0.25">
      <c r="A2" s="252" t="s">
        <v>28</v>
      </c>
      <c r="B2" s="252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</row>
    <row r="3" spans="1:20" s="7" customFormat="1" ht="21" customHeight="1" x14ac:dyDescent="0.3">
      <c r="A3" s="253" t="s">
        <v>319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</row>
    <row r="4" spans="1:20" s="7" customFormat="1" ht="21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</row>
    <row r="5" spans="1:20" s="45" customFormat="1" ht="20.25" customHeight="1" x14ac:dyDescent="0.25">
      <c r="A5" s="268" t="s">
        <v>68</v>
      </c>
      <c r="B5" s="270" t="s">
        <v>22</v>
      </c>
      <c r="C5" s="272" t="s">
        <v>25</v>
      </c>
      <c r="D5" s="268" t="s">
        <v>478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4"/>
      <c r="Q5" s="272" t="s">
        <v>101</v>
      </c>
    </row>
    <row r="6" spans="1:20" s="45" customFormat="1" ht="30.75" customHeight="1" x14ac:dyDescent="0.25">
      <c r="A6" s="269"/>
      <c r="B6" s="271"/>
      <c r="C6" s="273"/>
      <c r="D6" s="198">
        <v>1</v>
      </c>
      <c r="E6" s="198">
        <v>2</v>
      </c>
      <c r="F6" s="198">
        <v>3</v>
      </c>
      <c r="G6" s="198">
        <v>4</v>
      </c>
      <c r="H6" s="198">
        <v>5</v>
      </c>
      <c r="I6" s="198">
        <v>6</v>
      </c>
      <c r="J6" s="198">
        <v>7</v>
      </c>
      <c r="K6" s="198">
        <v>8</v>
      </c>
      <c r="L6" s="198">
        <v>9</v>
      </c>
      <c r="M6" s="198">
        <v>10</v>
      </c>
      <c r="N6" s="198">
        <v>11</v>
      </c>
      <c r="O6" s="198">
        <v>12</v>
      </c>
      <c r="P6" s="44" t="s">
        <v>281</v>
      </c>
      <c r="Q6" s="273"/>
    </row>
    <row r="7" spans="1:20" s="57" customFormat="1" ht="15" customHeight="1" x14ac:dyDescent="0.25">
      <c r="A7" s="58"/>
      <c r="B7" s="197" t="s">
        <v>277</v>
      </c>
      <c r="C7" s="56">
        <f>SUM(C8:C15)</f>
        <v>27800000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>
        <f>SUM(N8:N15)</f>
        <v>205700</v>
      </c>
      <c r="O7" s="56">
        <f>SUM(O8:O15)</f>
        <v>109300</v>
      </c>
      <c r="P7" s="56">
        <f>SUM(P8:P15)</f>
        <v>278000</v>
      </c>
      <c r="Q7" s="50"/>
    </row>
    <row r="8" spans="1:20" s="51" customFormat="1" ht="15" customHeight="1" x14ac:dyDescent="0.25">
      <c r="A8" s="46"/>
      <c r="B8" s="47" t="s">
        <v>276</v>
      </c>
      <c r="C8" s="50">
        <v>3700000</v>
      </c>
      <c r="D8" s="50">
        <f>$C$8*1%</f>
        <v>37000</v>
      </c>
      <c r="E8" s="50">
        <f t="shared" ref="E8:P8" si="0">$C$8*1%</f>
        <v>37000</v>
      </c>
      <c r="F8" s="50">
        <f t="shared" si="0"/>
        <v>37000</v>
      </c>
      <c r="G8" s="50">
        <f t="shared" si="0"/>
        <v>37000</v>
      </c>
      <c r="H8" s="50">
        <f t="shared" si="0"/>
        <v>37000</v>
      </c>
      <c r="I8" s="50">
        <f t="shared" si="0"/>
        <v>37000</v>
      </c>
      <c r="J8" s="50">
        <f t="shared" si="0"/>
        <v>37000</v>
      </c>
      <c r="K8" s="50">
        <f t="shared" si="0"/>
        <v>37000</v>
      </c>
      <c r="L8" s="50">
        <f t="shared" si="0"/>
        <v>37000</v>
      </c>
      <c r="M8" s="50">
        <f t="shared" si="0"/>
        <v>37000</v>
      </c>
      <c r="N8" s="50">
        <f t="shared" si="0"/>
        <v>37000</v>
      </c>
      <c r="O8" s="50">
        <f t="shared" si="0"/>
        <v>37000</v>
      </c>
      <c r="P8" s="50">
        <f t="shared" si="0"/>
        <v>37000</v>
      </c>
      <c r="Q8" s="50"/>
      <c r="R8" s="51">
        <v>1</v>
      </c>
    </row>
    <row r="9" spans="1:20" s="51" customFormat="1" ht="15" customHeight="1" x14ac:dyDescent="0.25">
      <c r="A9" s="46"/>
      <c r="B9" s="47" t="s">
        <v>472</v>
      </c>
      <c r="C9" s="50">
        <v>3700000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>
        <f t="shared" ref="N9:N15" si="1">C9*1%*70%</f>
        <v>25900</v>
      </c>
      <c r="O9" s="50">
        <f t="shared" ref="O9:O15" si="2">C9*1%*30%</f>
        <v>11100</v>
      </c>
      <c r="P9" s="50">
        <f t="shared" ref="P9:P15" si="3">SUM(N9:O9)</f>
        <v>37000</v>
      </c>
      <c r="Q9" s="50"/>
      <c r="R9" s="51">
        <v>1</v>
      </c>
    </row>
    <row r="10" spans="1:20" s="51" customFormat="1" ht="15" customHeight="1" x14ac:dyDescent="0.25">
      <c r="A10" s="46"/>
      <c r="B10" s="47" t="s">
        <v>314</v>
      </c>
      <c r="C10" s="50">
        <v>3700000</v>
      </c>
      <c r="D10" s="50">
        <f t="shared" ref="D10:D15" si="4">$C$8*1%</f>
        <v>37000</v>
      </c>
      <c r="E10" s="50"/>
      <c r="F10" s="50"/>
      <c r="G10" s="50"/>
      <c r="H10" s="50"/>
      <c r="I10" s="50"/>
      <c r="J10" s="50"/>
      <c r="K10" s="50"/>
      <c r="L10" s="50"/>
      <c r="M10" s="50"/>
      <c r="N10" s="50">
        <f t="shared" si="1"/>
        <v>25900</v>
      </c>
      <c r="O10" s="50">
        <f t="shared" si="2"/>
        <v>11100</v>
      </c>
      <c r="P10" s="50">
        <f t="shared" si="3"/>
        <v>37000</v>
      </c>
      <c r="Q10" s="50"/>
      <c r="R10" s="51">
        <v>1</v>
      </c>
    </row>
    <row r="11" spans="1:20" s="51" customFormat="1" ht="15" customHeight="1" x14ac:dyDescent="0.25">
      <c r="A11" s="46"/>
      <c r="B11" s="47" t="s">
        <v>473</v>
      </c>
      <c r="C11" s="50">
        <v>3400000</v>
      </c>
      <c r="D11" s="50">
        <f t="shared" si="4"/>
        <v>37000</v>
      </c>
      <c r="E11" s="50"/>
      <c r="F11" s="50"/>
      <c r="G11" s="50"/>
      <c r="H11" s="50"/>
      <c r="I11" s="50"/>
      <c r="J11" s="50"/>
      <c r="K11" s="50"/>
      <c r="L11" s="50"/>
      <c r="M11" s="50"/>
      <c r="N11" s="50">
        <f t="shared" si="1"/>
        <v>23800</v>
      </c>
      <c r="O11" s="50">
        <f t="shared" si="2"/>
        <v>10200</v>
      </c>
      <c r="P11" s="50">
        <f t="shared" si="3"/>
        <v>34000</v>
      </c>
      <c r="Q11" s="50"/>
      <c r="R11" s="51">
        <v>1</v>
      </c>
    </row>
    <row r="12" spans="1:20" s="51" customFormat="1" ht="15" customHeight="1" x14ac:dyDescent="0.25">
      <c r="A12" s="46"/>
      <c r="B12" s="47" t="s">
        <v>474</v>
      </c>
      <c r="C12" s="50">
        <v>3400000</v>
      </c>
      <c r="D12" s="50">
        <f t="shared" si="4"/>
        <v>37000</v>
      </c>
      <c r="E12" s="50"/>
      <c r="F12" s="50"/>
      <c r="G12" s="50"/>
      <c r="H12" s="50"/>
      <c r="I12" s="50"/>
      <c r="J12" s="50"/>
      <c r="K12" s="50"/>
      <c r="L12" s="50"/>
      <c r="M12" s="50"/>
      <c r="N12" s="50">
        <f t="shared" si="1"/>
        <v>23800</v>
      </c>
      <c r="O12" s="50">
        <f t="shared" si="2"/>
        <v>10200</v>
      </c>
      <c r="P12" s="50">
        <f t="shared" si="3"/>
        <v>34000</v>
      </c>
      <c r="Q12" s="50"/>
      <c r="R12" s="51">
        <v>1</v>
      </c>
    </row>
    <row r="13" spans="1:20" s="51" customFormat="1" ht="15" customHeight="1" x14ac:dyDescent="0.25">
      <c r="A13" s="46"/>
      <c r="B13" s="47" t="s">
        <v>475</v>
      </c>
      <c r="C13" s="50">
        <v>3700000</v>
      </c>
      <c r="D13" s="50">
        <f t="shared" si="4"/>
        <v>37000</v>
      </c>
      <c r="E13" s="50"/>
      <c r="F13" s="50"/>
      <c r="G13" s="50"/>
      <c r="H13" s="50"/>
      <c r="I13" s="50"/>
      <c r="J13" s="50"/>
      <c r="K13" s="50"/>
      <c r="L13" s="50"/>
      <c r="M13" s="50"/>
      <c r="N13" s="50">
        <f t="shared" si="1"/>
        <v>25900</v>
      </c>
      <c r="O13" s="50">
        <f t="shared" si="2"/>
        <v>11100</v>
      </c>
      <c r="P13" s="50">
        <f t="shared" si="3"/>
        <v>37000</v>
      </c>
      <c r="Q13" s="50"/>
      <c r="R13" s="51">
        <v>1</v>
      </c>
    </row>
    <row r="14" spans="1:20" s="51" customFormat="1" ht="15" customHeight="1" x14ac:dyDescent="0.25">
      <c r="A14" s="46"/>
      <c r="B14" s="47" t="s">
        <v>476</v>
      </c>
      <c r="C14" s="50">
        <v>2800000</v>
      </c>
      <c r="D14" s="50">
        <f t="shared" si="4"/>
        <v>37000</v>
      </c>
      <c r="E14" s="50"/>
      <c r="F14" s="50"/>
      <c r="G14" s="50"/>
      <c r="H14" s="50"/>
      <c r="I14" s="50"/>
      <c r="J14" s="50"/>
      <c r="K14" s="50"/>
      <c r="L14" s="50"/>
      <c r="M14" s="50"/>
      <c r="N14" s="50">
        <f t="shared" si="1"/>
        <v>19600</v>
      </c>
      <c r="O14" s="50">
        <f t="shared" si="2"/>
        <v>8400</v>
      </c>
      <c r="P14" s="50">
        <f t="shared" si="3"/>
        <v>28000</v>
      </c>
      <c r="Q14" s="50"/>
      <c r="R14" s="51">
        <v>1</v>
      </c>
    </row>
    <row r="15" spans="1:20" s="51" customFormat="1" ht="15" customHeight="1" x14ac:dyDescent="0.25">
      <c r="A15" s="46"/>
      <c r="B15" s="47" t="s">
        <v>477</v>
      </c>
      <c r="C15" s="50">
        <v>3400000</v>
      </c>
      <c r="D15" s="50">
        <f t="shared" si="4"/>
        <v>37000</v>
      </c>
      <c r="E15" s="50"/>
      <c r="F15" s="50"/>
      <c r="G15" s="50"/>
      <c r="H15" s="50"/>
      <c r="I15" s="50"/>
      <c r="J15" s="50"/>
      <c r="K15" s="50"/>
      <c r="L15" s="50"/>
      <c r="M15" s="50"/>
      <c r="N15" s="50">
        <f t="shared" si="1"/>
        <v>23800</v>
      </c>
      <c r="O15" s="50">
        <f t="shared" si="2"/>
        <v>10200</v>
      </c>
      <c r="P15" s="50">
        <f t="shared" si="3"/>
        <v>34000</v>
      </c>
      <c r="Q15" s="50"/>
      <c r="R15" s="51">
        <v>1</v>
      </c>
    </row>
    <row r="16" spans="1:20" s="57" customFormat="1" ht="15" customHeight="1" x14ac:dyDescent="0.25">
      <c r="A16" s="52"/>
      <c r="B16" s="61" t="s">
        <v>49</v>
      </c>
      <c r="C16" s="56" t="e">
        <f>#REF!+#REF!+#REF!+#REF!+#REF!+#REF!+C7</f>
        <v>#REF!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 t="e">
        <f>#REF!+#REF!+#REF!+#REF!+#REF!+#REF!+N7</f>
        <v>#REF!</v>
      </c>
      <c r="O16" s="56" t="e">
        <f>#REF!+#REF!+#REF!+#REF!+#REF!+#REF!+O7</f>
        <v>#REF!</v>
      </c>
      <c r="P16" s="56" t="e">
        <f>#REF!+#REF!+#REF!+#REF!+#REF!+#REF!+P7</f>
        <v>#REF!</v>
      </c>
      <c r="Q16" s="50"/>
      <c r="T16" s="101"/>
    </row>
    <row r="17" spans="1:17" s="25" customFormat="1" ht="48" customHeight="1" x14ac:dyDescent="0.25">
      <c r="A17" s="43"/>
      <c r="B17" s="260" t="str">
        <f>lb_4</f>
        <v>Ghi chú: BHXH, BHYT, BHTN = (Hệ số lương + Chức vụ + Vượt khung + Thâm niên nghề) x1.390.000 x Hệ số BHXH, BHYT, BHTN</v>
      </c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</row>
    <row r="18" spans="1:17" s="2" customFormat="1" x14ac:dyDescent="0.25">
      <c r="C18" s="256" t="str">
        <f>ngay</f>
        <v>Tây Ninh, ngày 01 tháng 7 năm 2019</v>
      </c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</row>
    <row r="19" spans="1:17" s="15" customFormat="1" ht="33.75" customHeight="1" x14ac:dyDescent="0.25">
      <c r="A19" s="20"/>
      <c r="B19" s="15" t="s">
        <v>72</v>
      </c>
      <c r="C19" s="252" t="s">
        <v>71</v>
      </c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</row>
    <row r="20" spans="1:17" x14ac:dyDescent="0.2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7" x14ac:dyDescent="0.2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7" x14ac:dyDescent="0.2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7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7" x14ac:dyDescent="0.25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6" spans="1:17" x14ac:dyDescent="0.25">
      <c r="A26" s="27"/>
      <c r="B26" s="28" t="str">
        <f>lb_1</f>
        <v>Nguyễn Thị Thu Lan</v>
      </c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</row>
  </sheetData>
  <mergeCells count="15">
    <mergeCell ref="B17:Q17"/>
    <mergeCell ref="C18:Q18"/>
    <mergeCell ref="C19:Q19"/>
    <mergeCell ref="C26:Q26"/>
    <mergeCell ref="C5:C6"/>
    <mergeCell ref="Q5:Q6"/>
    <mergeCell ref="D5:P5"/>
    <mergeCell ref="A5:A6"/>
    <mergeCell ref="B5:B6"/>
    <mergeCell ref="A1:B1"/>
    <mergeCell ref="C1:P1"/>
    <mergeCell ref="A2:B2"/>
    <mergeCell ref="C2:P2"/>
    <mergeCell ref="A3:Q3"/>
    <mergeCell ref="A4:Q4"/>
  </mergeCells>
  <pageMargins left="0.2" right="0.2" top="0.56999999999999995" bottom="0.69" header="0.35" footer="0.3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3"/>
  </sheetPr>
  <dimension ref="A1:U62"/>
  <sheetViews>
    <sheetView workbookViewId="0">
      <pane xSplit="2" ySplit="7" topLeftCell="C10" activePane="bottomRight" state="frozen"/>
      <selection pane="topRight" activeCell="C1" sqref="C1"/>
      <selection pane="bottomLeft" activeCell="A8" sqref="A8"/>
      <selection pane="bottomRight" activeCell="U42" sqref="U42"/>
    </sheetView>
  </sheetViews>
  <sheetFormatPr defaultColWidth="9.109375" defaultRowHeight="13.2" x14ac:dyDescent="0.25"/>
  <cols>
    <col min="1" max="1" width="4.33203125" style="1" customWidth="1"/>
    <col min="2" max="2" width="17.5546875" style="1" customWidth="1"/>
    <col min="3" max="3" width="7" style="1" customWidth="1"/>
    <col min="4" max="4" width="6.44140625" style="1" customWidth="1"/>
    <col min="5" max="5" width="7.6640625" style="1" customWidth="1"/>
    <col min="6" max="6" width="6" style="1" customWidth="1"/>
    <col min="7" max="7" width="7.33203125" style="1" customWidth="1"/>
    <col min="8" max="8" width="6.6640625" style="1" customWidth="1"/>
    <col min="9" max="9" width="9" style="1" customWidth="1"/>
    <col min="10" max="10" width="5" style="1" customWidth="1"/>
    <col min="11" max="11" width="7" style="1" customWidth="1"/>
    <col min="12" max="13" width="5" style="1" customWidth="1"/>
    <col min="14" max="14" width="10.6640625" style="1" customWidth="1"/>
    <col min="15" max="16" width="9" style="1" customWidth="1"/>
    <col min="17" max="17" width="11.44140625" style="1" customWidth="1"/>
    <col min="18" max="18" width="12.6640625" style="1" customWidth="1"/>
    <col min="19" max="16384" width="9.109375" style="1"/>
  </cols>
  <sheetData>
    <row r="1" spans="1:21" s="7" customFormat="1" ht="13.5" customHeight="1" x14ac:dyDescent="0.25">
      <c r="A1" s="252" t="s">
        <v>27</v>
      </c>
      <c r="B1" s="252"/>
      <c r="C1" s="252"/>
      <c r="D1" s="252"/>
      <c r="E1" s="252"/>
      <c r="F1" s="252"/>
      <c r="H1" s="251" t="s">
        <v>29</v>
      </c>
      <c r="I1" s="251"/>
      <c r="J1" s="251"/>
      <c r="K1" s="251"/>
      <c r="L1" s="251"/>
      <c r="M1" s="251"/>
      <c r="N1" s="251"/>
      <c r="O1" s="251"/>
      <c r="P1" s="251"/>
      <c r="Q1" s="251"/>
      <c r="R1" s="62"/>
    </row>
    <row r="2" spans="1:21" s="7" customFormat="1" ht="13.5" customHeight="1" x14ac:dyDescent="0.25">
      <c r="A2" s="252" t="s">
        <v>28</v>
      </c>
      <c r="B2" s="252"/>
      <c r="C2" s="252"/>
      <c r="D2" s="252"/>
      <c r="E2" s="252"/>
      <c r="F2" s="252"/>
      <c r="H2" s="251" t="s">
        <v>30</v>
      </c>
      <c r="I2" s="251"/>
      <c r="J2" s="251"/>
      <c r="K2" s="251"/>
      <c r="L2" s="251"/>
      <c r="M2" s="251"/>
      <c r="N2" s="251"/>
      <c r="O2" s="251"/>
      <c r="P2" s="251"/>
      <c r="Q2" s="251"/>
    </row>
    <row r="3" spans="1:21" s="7" customFormat="1" ht="21" customHeight="1" x14ac:dyDescent="0.3">
      <c r="A3" s="253" t="s">
        <v>319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</row>
    <row r="4" spans="1:21" s="7" customFormat="1" ht="21" customHeight="1" x14ac:dyDescent="0.25">
      <c r="A4" s="250" t="str">
        <f>thang</f>
        <v>Tháng 7 Năm 2019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</row>
    <row r="5" spans="1:21" s="45" customFormat="1" ht="20.25" customHeight="1" x14ac:dyDescent="0.25">
      <c r="A5" s="268" t="s">
        <v>68</v>
      </c>
      <c r="B5" s="270" t="s">
        <v>22</v>
      </c>
      <c r="C5" s="270" t="s">
        <v>24</v>
      </c>
      <c r="D5" s="274" t="s">
        <v>21</v>
      </c>
      <c r="E5" s="272" t="s">
        <v>23</v>
      </c>
      <c r="F5" s="272" t="s">
        <v>2</v>
      </c>
      <c r="G5" s="272" t="s">
        <v>114</v>
      </c>
      <c r="H5" s="272" t="s">
        <v>69</v>
      </c>
      <c r="I5" s="272" t="s">
        <v>169</v>
      </c>
      <c r="J5" s="272" t="s">
        <v>206</v>
      </c>
      <c r="K5" s="272" t="s">
        <v>209</v>
      </c>
      <c r="L5" s="272" t="s">
        <v>70</v>
      </c>
      <c r="M5" s="272" t="s">
        <v>246</v>
      </c>
      <c r="N5" s="272" t="s">
        <v>25</v>
      </c>
      <c r="O5" s="276" t="s">
        <v>280</v>
      </c>
      <c r="P5" s="277"/>
      <c r="Q5" s="278"/>
      <c r="R5" s="272" t="s">
        <v>101</v>
      </c>
    </row>
    <row r="6" spans="1:21" s="45" customFormat="1" ht="30.75" customHeight="1" x14ac:dyDescent="0.25">
      <c r="A6" s="269"/>
      <c r="B6" s="271"/>
      <c r="C6" s="271"/>
      <c r="D6" s="275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44" t="s">
        <v>279</v>
      </c>
      <c r="P6" s="44" t="s">
        <v>278</v>
      </c>
      <c r="Q6" s="44" t="s">
        <v>281</v>
      </c>
      <c r="R6" s="273"/>
    </row>
    <row r="7" spans="1:21" s="57" customFormat="1" ht="15" customHeight="1" x14ac:dyDescent="0.25">
      <c r="A7" s="58"/>
      <c r="B7" s="254" t="s">
        <v>234</v>
      </c>
      <c r="C7" s="254"/>
      <c r="D7" s="255"/>
      <c r="E7" s="54">
        <f t="shared" ref="E7:Q7" si="0">SUM(E8:E10)</f>
        <v>15.4</v>
      </c>
      <c r="F7" s="54">
        <f t="shared" si="0"/>
        <v>2.2999999999999998</v>
      </c>
      <c r="G7" s="55">
        <f t="shared" si="0"/>
        <v>0.34860000000000008</v>
      </c>
      <c r="H7" s="54"/>
      <c r="I7" s="55">
        <f t="shared" si="0"/>
        <v>0.63</v>
      </c>
      <c r="J7" s="54"/>
      <c r="K7" s="55"/>
      <c r="L7" s="54"/>
      <c r="M7" s="54"/>
      <c r="N7" s="56">
        <f t="shared" si="0"/>
        <v>27831114</v>
      </c>
      <c r="O7" s="56">
        <f t="shared" si="0"/>
        <v>194817.79800000001</v>
      </c>
      <c r="P7" s="56">
        <f t="shared" si="0"/>
        <v>83493.342000000004</v>
      </c>
      <c r="Q7" s="56">
        <f t="shared" si="0"/>
        <v>278311.14</v>
      </c>
      <c r="R7" s="56"/>
    </row>
    <row r="8" spans="1:21" s="51" customFormat="1" ht="15" customHeight="1" x14ac:dyDescent="0.25">
      <c r="A8" s="46" t="s">
        <v>3</v>
      </c>
      <c r="B8" s="47" t="str">
        <f>VLOOKUP(madang,nhanvien,2,FALSE)</f>
        <v>Châu Văn Văn</v>
      </c>
      <c r="C8" s="47" t="str">
        <f>VLOOKUP(madang,nhanvien,7,FALSE)</f>
        <v>GĐ</v>
      </c>
      <c r="D8" s="47" t="str">
        <f>VLOOKUP(madang,nhanvien,4,FALSE)</f>
        <v>Bậc 06</v>
      </c>
      <c r="E8" s="48">
        <f>VLOOKUP(madang,nhanvien,5,FALSE)</f>
        <v>6.1</v>
      </c>
      <c r="F8" s="48">
        <f>VLOOKUP(madang,nhanvien,8,FALSE)</f>
        <v>0.9</v>
      </c>
      <c r="G8" s="49">
        <f>VLOOKUP(madang,nhanvien,11,FALSE)</f>
        <v>0</v>
      </c>
      <c r="H8" s="48"/>
      <c r="I8" s="49">
        <f>VLOOKUP(madang,nhanvien,17,FALSE)</f>
        <v>0.63</v>
      </c>
      <c r="J8" s="48"/>
      <c r="K8" s="49"/>
      <c r="L8" s="48"/>
      <c r="M8" s="48"/>
      <c r="N8" s="50">
        <f>SUM(E8:M8)*luongcanban</f>
        <v>11368700</v>
      </c>
      <c r="O8" s="50">
        <f>N8*1%*70%</f>
        <v>79580.899999999994</v>
      </c>
      <c r="P8" s="50">
        <f>N8*1%*30%</f>
        <v>34106.1</v>
      </c>
      <c r="Q8" s="50">
        <f>SUM(O8:P8)</f>
        <v>113687</v>
      </c>
      <c r="R8" s="50"/>
      <c r="S8" s="51">
        <v>1</v>
      </c>
    </row>
    <row r="9" spans="1:21" s="51" customFormat="1" ht="15" customHeight="1" x14ac:dyDescent="0.25">
      <c r="A9" s="46" t="s">
        <v>4</v>
      </c>
      <c r="B9" s="47" t="str">
        <f>VLOOKUP(madang,nhanvien,2,FALSE)</f>
        <v>Huỳnh Hữu Phương</v>
      </c>
      <c r="C9" s="47" t="str">
        <f>VLOOKUP(madang,nhanvien,7,FALSE)</f>
        <v>PGĐ</v>
      </c>
      <c r="D9" s="47" t="str">
        <f>VLOOKUP(madang,nhanvien,4,FALSE)</f>
        <v>Bậc 09</v>
      </c>
      <c r="E9" s="48">
        <f>VLOOKUP(madang,nhanvien,5,FALSE)</f>
        <v>4.9800000000000004</v>
      </c>
      <c r="F9" s="48">
        <f>VLOOKUP(madang,nhanvien,8,FALSE)</f>
        <v>0.7</v>
      </c>
      <c r="G9" s="49">
        <f>VLOOKUP(madang,nhanvien,11,FALSE)</f>
        <v>0.34860000000000008</v>
      </c>
      <c r="H9" s="48"/>
      <c r="I9" s="49">
        <f>VLOOKUP(madang,nhanvien,17,FALSE)</f>
        <v>0</v>
      </c>
      <c r="J9" s="48"/>
      <c r="K9" s="49"/>
      <c r="L9" s="48"/>
      <c r="M9" s="48"/>
      <c r="N9" s="50">
        <f>SUM(E9:M9)*luongcanban</f>
        <v>8982614.0000000019</v>
      </c>
      <c r="O9" s="50">
        <f>N9*1%*70%</f>
        <v>62878.298000000003</v>
      </c>
      <c r="P9" s="50">
        <f>N9*1%*30%</f>
        <v>26947.842000000004</v>
      </c>
      <c r="Q9" s="50">
        <f>SUM(O9:P9)</f>
        <v>89826.140000000014</v>
      </c>
      <c r="R9" s="50"/>
      <c r="S9" s="51">
        <v>1</v>
      </c>
    </row>
    <row r="10" spans="1:21" s="51" customFormat="1" ht="15" customHeight="1" x14ac:dyDescent="0.25">
      <c r="A10" s="46" t="s">
        <v>5</v>
      </c>
      <c r="B10" s="47" t="str">
        <f>VLOOKUP(madang,nhanvien,2,FALSE)</f>
        <v>Tạ Ngọc Dân</v>
      </c>
      <c r="C10" s="47" t="str">
        <f>VLOOKUP(madang,nhanvien,7,FALSE)</f>
        <v>PGĐ</v>
      </c>
      <c r="D10" s="47" t="str">
        <f>VLOOKUP(madang,nhanvien,4,FALSE)</f>
        <v>Bậc 07</v>
      </c>
      <c r="E10" s="48">
        <f>VLOOKUP(madang,nhanvien,5,FALSE)</f>
        <v>4.32</v>
      </c>
      <c r="F10" s="48">
        <f>VLOOKUP(madang,nhanvien,8,FALSE)</f>
        <v>0.7</v>
      </c>
      <c r="G10" s="49">
        <f>VLOOKUP(madang,nhanvien,11,FALSE)</f>
        <v>0</v>
      </c>
      <c r="H10" s="48"/>
      <c r="I10" s="49">
        <f>VLOOKUP(madang,nhanvien,17,FALSE)</f>
        <v>0</v>
      </c>
      <c r="J10" s="48"/>
      <c r="K10" s="49"/>
      <c r="L10" s="48"/>
      <c r="M10" s="48"/>
      <c r="N10" s="50">
        <f>SUM(E10:M10)*luongcanban</f>
        <v>7479800.0000000009</v>
      </c>
      <c r="O10" s="50">
        <f>N10*1%*70%</f>
        <v>52358.600000000006</v>
      </c>
      <c r="P10" s="50">
        <f>N10*1%*30%</f>
        <v>22439.400000000005</v>
      </c>
      <c r="Q10" s="50">
        <f>SUM(O10:P10)</f>
        <v>74798.000000000015</v>
      </c>
      <c r="R10" s="50"/>
      <c r="S10" s="51">
        <v>1</v>
      </c>
    </row>
    <row r="11" spans="1:21" s="57" customFormat="1" ht="15" customHeight="1" x14ac:dyDescent="0.25">
      <c r="A11" s="58"/>
      <c r="B11" s="254" t="s">
        <v>235</v>
      </c>
      <c r="C11" s="254"/>
      <c r="D11" s="255"/>
      <c r="E11" s="54">
        <f t="shared" ref="E11:Q11" si="1">SUM(E12:E14)</f>
        <v>10.98</v>
      </c>
      <c r="F11" s="54">
        <f t="shared" si="1"/>
        <v>0.8</v>
      </c>
      <c r="G11" s="55">
        <f t="shared" si="1"/>
        <v>0</v>
      </c>
      <c r="H11" s="54"/>
      <c r="I11" s="55">
        <f t="shared" si="1"/>
        <v>0</v>
      </c>
      <c r="J11" s="54"/>
      <c r="K11" s="55"/>
      <c r="L11" s="54"/>
      <c r="M11" s="54"/>
      <c r="N11" s="56">
        <f t="shared" si="1"/>
        <v>17552200</v>
      </c>
      <c r="O11" s="56">
        <f t="shared" si="1"/>
        <v>122865.4</v>
      </c>
      <c r="P11" s="56">
        <f t="shared" si="1"/>
        <v>52656.599999999991</v>
      </c>
      <c r="Q11" s="56">
        <f t="shared" si="1"/>
        <v>175522</v>
      </c>
      <c r="R11" s="50"/>
    </row>
    <row r="12" spans="1:21" s="51" customFormat="1" ht="15" customHeight="1" x14ac:dyDescent="0.25">
      <c r="A12" s="46" t="s">
        <v>6</v>
      </c>
      <c r="B12" s="47" t="str">
        <f>VLOOKUP(madang,nhanvien,2,FALSE)</f>
        <v>Nguyễn Văn Cường</v>
      </c>
      <c r="C12" s="47" t="str">
        <f>VLOOKUP(madang,nhanvien,7,FALSE)</f>
        <v>TP</v>
      </c>
      <c r="D12" s="47" t="str">
        <f>VLOOKUP(madang,nhanvien,4,FALSE)</f>
        <v>Bậc 06</v>
      </c>
      <c r="E12" s="48">
        <f>VLOOKUP(madang,nhanvien,5,FALSE)</f>
        <v>3.99</v>
      </c>
      <c r="F12" s="48">
        <f>VLOOKUP(madang,nhanvien,8,FALSE)</f>
        <v>0.5</v>
      </c>
      <c r="G12" s="49">
        <f>VLOOKUP(madang,nhanvien,11,FALSE)</f>
        <v>0</v>
      </c>
      <c r="H12" s="48"/>
      <c r="I12" s="49">
        <f>VLOOKUP(madang,nhanvien,17,FALSE)</f>
        <v>0</v>
      </c>
      <c r="J12" s="48"/>
      <c r="K12" s="49"/>
      <c r="L12" s="48"/>
      <c r="M12" s="48"/>
      <c r="N12" s="50">
        <f>SUM(E12:M12)*luongcanban</f>
        <v>6690100</v>
      </c>
      <c r="O12" s="50">
        <f>N12*1%*70%</f>
        <v>46830.7</v>
      </c>
      <c r="P12" s="50">
        <f>N12*1%*30%</f>
        <v>20070.3</v>
      </c>
      <c r="Q12" s="50">
        <f>SUM(O12:P12)</f>
        <v>66901</v>
      </c>
      <c r="R12" s="50"/>
      <c r="S12" s="51">
        <v>1</v>
      </c>
    </row>
    <row r="13" spans="1:21" s="51" customFormat="1" ht="15" customHeight="1" x14ac:dyDescent="0.25">
      <c r="A13" s="46" t="s">
        <v>7</v>
      </c>
      <c r="B13" s="47" t="str">
        <f>VLOOKUP(madang,nhanvien,2,FALSE)</f>
        <v>Trần Văn Lành</v>
      </c>
      <c r="C13" s="47" t="str">
        <f>VLOOKUP(madang,nhanvien,7,FALSE)</f>
        <v>P.TP</v>
      </c>
      <c r="D13" s="47" t="str">
        <f>VLOOKUP(madang,nhanvien,4,FALSE)</f>
        <v>Bậc 04</v>
      </c>
      <c r="E13" s="48">
        <f>VLOOKUP(madang,nhanvien,5,FALSE)</f>
        <v>3.33</v>
      </c>
      <c r="F13" s="48">
        <f>VLOOKUP(madang,nhanvien,8,FALSE)</f>
        <v>0.3</v>
      </c>
      <c r="G13" s="49">
        <f>VLOOKUP(madang,nhanvien,11,FALSE)</f>
        <v>0</v>
      </c>
      <c r="H13" s="48"/>
      <c r="I13" s="49">
        <f>VLOOKUP(madang,nhanvien,17,FALSE)</f>
        <v>0</v>
      </c>
      <c r="J13" s="48"/>
      <c r="K13" s="49"/>
      <c r="L13" s="48"/>
      <c r="M13" s="48"/>
      <c r="N13" s="50">
        <f>SUM(E13:M13)*luongcanban</f>
        <v>5408700</v>
      </c>
      <c r="O13" s="50">
        <f>N13*1%*70%</f>
        <v>37860.899999999994</v>
      </c>
      <c r="P13" s="50">
        <f>N13*1%*30%</f>
        <v>16226.099999999999</v>
      </c>
      <c r="Q13" s="50">
        <f>SUM(O13:P13)</f>
        <v>54086.999999999993</v>
      </c>
      <c r="R13" s="50"/>
      <c r="S13" s="51">
        <v>1</v>
      </c>
      <c r="U13" s="99"/>
    </row>
    <row r="14" spans="1:21" s="51" customFormat="1" ht="15" customHeight="1" x14ac:dyDescent="0.25">
      <c r="A14" s="46" t="s">
        <v>8</v>
      </c>
      <c r="B14" s="47" t="str">
        <f>VLOOKUP(madang,nhanvien,2,FALSE)</f>
        <v>Nguyễn Thị Thanh</v>
      </c>
      <c r="C14" s="47" t="str">
        <f>VLOOKUP(madang,nhanvien,7,FALSE)</f>
        <v>TQ</v>
      </c>
      <c r="D14" s="47" t="str">
        <f>VLOOKUP(madang,nhanvien,4,FALSE)</f>
        <v>Bậc 10</v>
      </c>
      <c r="E14" s="48">
        <f>VLOOKUP(madang,nhanvien,5,FALSE)</f>
        <v>3.66</v>
      </c>
      <c r="F14" s="48">
        <f>VLOOKUP(madang,nhanvien,8,FALSE)</f>
        <v>0</v>
      </c>
      <c r="G14" s="49">
        <f>VLOOKUP(madang,nhanvien,11,FALSE)</f>
        <v>0</v>
      </c>
      <c r="H14" s="48"/>
      <c r="I14" s="49">
        <f>VLOOKUP(madang,nhanvien,17,FALSE)</f>
        <v>0</v>
      </c>
      <c r="J14" s="48"/>
      <c r="K14" s="49"/>
      <c r="L14" s="48"/>
      <c r="M14" s="48"/>
      <c r="N14" s="50">
        <f>SUM(E14:M14)*luongcanban</f>
        <v>5453400</v>
      </c>
      <c r="O14" s="50">
        <f>N14*1%*70%</f>
        <v>38173.799999999996</v>
      </c>
      <c r="P14" s="50">
        <f>N14*1%*30%</f>
        <v>16360.199999999999</v>
      </c>
      <c r="Q14" s="50">
        <f>SUM(O14:P14)</f>
        <v>54533.999999999993</v>
      </c>
      <c r="R14" s="50"/>
      <c r="S14" s="51">
        <v>1</v>
      </c>
      <c r="U14" s="99"/>
    </row>
    <row r="15" spans="1:21" s="57" customFormat="1" ht="15" customHeight="1" x14ac:dyDescent="0.25">
      <c r="A15" s="58"/>
      <c r="B15" s="254" t="s">
        <v>237</v>
      </c>
      <c r="C15" s="254"/>
      <c r="D15" s="255"/>
      <c r="E15" s="54">
        <f>SUM(E16:E19)</f>
        <v>13.98</v>
      </c>
      <c r="F15" s="54">
        <f>SUM(F16:F19)</f>
        <v>0.8</v>
      </c>
      <c r="G15" s="55">
        <f>SUM(G16:G19)</f>
        <v>0</v>
      </c>
      <c r="H15" s="54"/>
      <c r="I15" s="55">
        <f>SUM(I16:I19)</f>
        <v>0</v>
      </c>
      <c r="J15" s="54"/>
      <c r="K15" s="55"/>
      <c r="L15" s="54"/>
      <c r="M15" s="54"/>
      <c r="N15" s="56" t="e">
        <f>SUM(N16:N21)</f>
        <v>#N/A</v>
      </c>
      <c r="O15" s="56" t="e">
        <f>SUM(O16:O21)</f>
        <v>#N/A</v>
      </c>
      <c r="P15" s="56" t="e">
        <f>SUM(P16:P21)</f>
        <v>#N/A</v>
      </c>
      <c r="Q15" s="56" t="e">
        <f>SUM(Q16:Q21)</f>
        <v>#N/A</v>
      </c>
      <c r="R15" s="50"/>
      <c r="U15" s="99"/>
    </row>
    <row r="16" spans="1:21" s="51" customFormat="1" ht="15" customHeight="1" x14ac:dyDescent="0.25">
      <c r="A16" s="46" t="s">
        <v>9</v>
      </c>
      <c r="B16" s="47" t="str">
        <f t="shared" ref="B16:B21" si="2">VLOOKUP(madang,nhanvien,2,FALSE)</f>
        <v>Nguyễn Long Điền</v>
      </c>
      <c r="C16" s="47" t="str">
        <f t="shared" ref="C16:C21" si="3">VLOOKUP(madang,nhanvien,7,FALSE)</f>
        <v>TP</v>
      </c>
      <c r="D16" s="47" t="str">
        <f t="shared" ref="D16:D21" si="4">VLOOKUP(madang,nhanvien,4,FALSE)</f>
        <v>Bậc 06</v>
      </c>
      <c r="E16" s="48">
        <f t="shared" ref="E16:E21" si="5">VLOOKUP(madang,nhanvien,5,FALSE)</f>
        <v>3.99</v>
      </c>
      <c r="F16" s="48">
        <f t="shared" ref="F16:F21" si="6">VLOOKUP(madang,nhanvien,8,FALSE)</f>
        <v>0.5</v>
      </c>
      <c r="G16" s="49">
        <f t="shared" ref="G16:G21" si="7">VLOOKUP(madang,nhanvien,11,FALSE)</f>
        <v>0</v>
      </c>
      <c r="H16" s="48"/>
      <c r="I16" s="49">
        <f t="shared" ref="I16:I21" si="8">VLOOKUP(madang,nhanvien,17,FALSE)</f>
        <v>0</v>
      </c>
      <c r="J16" s="48"/>
      <c r="K16" s="49"/>
      <c r="L16" s="48"/>
      <c r="M16" s="48"/>
      <c r="N16" s="50">
        <f t="shared" ref="N16:N21" si="9">SUM(E16:M16)*luongcanban</f>
        <v>6690100</v>
      </c>
      <c r="O16" s="50">
        <f t="shared" ref="O16:O21" si="10">N16*1%*70%</f>
        <v>46830.7</v>
      </c>
      <c r="P16" s="50">
        <f t="shared" ref="P16:P21" si="11">N16*1%*30%</f>
        <v>20070.3</v>
      </c>
      <c r="Q16" s="50">
        <f t="shared" ref="Q16:Q21" si="12">SUM(O16:P16)</f>
        <v>66901</v>
      </c>
      <c r="R16" s="50"/>
      <c r="S16" s="51">
        <v>1</v>
      </c>
      <c r="U16" s="99"/>
    </row>
    <row r="17" spans="1:21" s="51" customFormat="1" ht="15" customHeight="1" x14ac:dyDescent="0.25">
      <c r="A17" s="46" t="s">
        <v>10</v>
      </c>
      <c r="B17" s="47" t="str">
        <f t="shared" si="2"/>
        <v>Hồ Đắc Long</v>
      </c>
      <c r="C17" s="47" t="str">
        <f t="shared" si="3"/>
        <v>P.TP</v>
      </c>
      <c r="D17" s="47" t="str">
        <f t="shared" si="4"/>
        <v>Bậc 05</v>
      </c>
      <c r="E17" s="48">
        <f t="shared" si="5"/>
        <v>3.66</v>
      </c>
      <c r="F17" s="48">
        <f t="shared" si="6"/>
        <v>0.3</v>
      </c>
      <c r="G17" s="49">
        <f t="shared" si="7"/>
        <v>0</v>
      </c>
      <c r="H17" s="48"/>
      <c r="I17" s="49">
        <f t="shared" si="8"/>
        <v>0</v>
      </c>
      <c r="J17" s="48"/>
      <c r="K17" s="49"/>
      <c r="L17" s="48"/>
      <c r="M17" s="48"/>
      <c r="N17" s="50">
        <f t="shared" si="9"/>
        <v>5900400</v>
      </c>
      <c r="O17" s="50">
        <f t="shared" si="10"/>
        <v>41302.799999999996</v>
      </c>
      <c r="P17" s="50">
        <f t="shared" si="11"/>
        <v>17701.2</v>
      </c>
      <c r="Q17" s="50">
        <f t="shared" si="12"/>
        <v>59004</v>
      </c>
      <c r="R17" s="50"/>
      <c r="S17" s="51">
        <v>1</v>
      </c>
      <c r="U17" s="99"/>
    </row>
    <row r="18" spans="1:21" s="51" customFormat="1" ht="15" customHeight="1" x14ac:dyDescent="0.25">
      <c r="A18" s="46" t="s">
        <v>11</v>
      </c>
      <c r="B18" s="47" t="str">
        <f t="shared" si="2"/>
        <v>Hoàng Văn Hải</v>
      </c>
      <c r="C18" s="47" t="str">
        <f t="shared" si="3"/>
        <v>NV</v>
      </c>
      <c r="D18" s="47" t="str">
        <f t="shared" si="4"/>
        <v>Bậc 04</v>
      </c>
      <c r="E18" s="48">
        <f t="shared" si="5"/>
        <v>3.33</v>
      </c>
      <c r="F18" s="48">
        <f t="shared" si="6"/>
        <v>0</v>
      </c>
      <c r="G18" s="49">
        <f t="shared" si="7"/>
        <v>0</v>
      </c>
      <c r="H18" s="48"/>
      <c r="I18" s="49">
        <f t="shared" si="8"/>
        <v>0</v>
      </c>
      <c r="J18" s="48"/>
      <c r="K18" s="49"/>
      <c r="L18" s="48"/>
      <c r="M18" s="48"/>
      <c r="N18" s="50">
        <f t="shared" si="9"/>
        <v>4961700</v>
      </c>
      <c r="O18" s="50">
        <f t="shared" si="10"/>
        <v>34731.899999999994</v>
      </c>
      <c r="P18" s="50">
        <f t="shared" si="11"/>
        <v>14885.099999999999</v>
      </c>
      <c r="Q18" s="50">
        <f t="shared" si="12"/>
        <v>49616.999999999993</v>
      </c>
      <c r="R18" s="50"/>
      <c r="S18" s="51">
        <v>1</v>
      </c>
      <c r="U18" s="99"/>
    </row>
    <row r="19" spans="1:21" s="51" customFormat="1" ht="15" customHeight="1" x14ac:dyDescent="0.25">
      <c r="A19" s="46" t="s">
        <v>12</v>
      </c>
      <c r="B19" s="47" t="str">
        <f t="shared" si="2"/>
        <v>Nguyễn Thị Nhung</v>
      </c>
      <c r="C19" s="47" t="str">
        <f t="shared" si="3"/>
        <v>NV</v>
      </c>
      <c r="D19" s="47" t="str">
        <f t="shared" si="4"/>
        <v>Bậc 03</v>
      </c>
      <c r="E19" s="48">
        <f t="shared" si="5"/>
        <v>3</v>
      </c>
      <c r="F19" s="48">
        <f t="shared" si="6"/>
        <v>0</v>
      </c>
      <c r="G19" s="49">
        <f t="shared" si="7"/>
        <v>0</v>
      </c>
      <c r="H19" s="48"/>
      <c r="I19" s="49">
        <f t="shared" si="8"/>
        <v>0</v>
      </c>
      <c r="J19" s="48"/>
      <c r="K19" s="49"/>
      <c r="L19" s="48"/>
      <c r="M19" s="48"/>
      <c r="N19" s="50">
        <f t="shared" si="9"/>
        <v>4470000</v>
      </c>
      <c r="O19" s="50">
        <f t="shared" si="10"/>
        <v>31289.999999999996</v>
      </c>
      <c r="P19" s="50">
        <f t="shared" si="11"/>
        <v>13410</v>
      </c>
      <c r="Q19" s="50">
        <f t="shared" si="12"/>
        <v>44700</v>
      </c>
      <c r="R19" s="50"/>
      <c r="S19" s="51">
        <v>1</v>
      </c>
      <c r="U19" s="99"/>
    </row>
    <row r="20" spans="1:21" s="51" customFormat="1" ht="15" customHeight="1" x14ac:dyDescent="0.25">
      <c r="A20" s="46" t="s">
        <v>261</v>
      </c>
      <c r="B20" s="47" t="e">
        <f t="shared" si="2"/>
        <v>#N/A</v>
      </c>
      <c r="C20" s="47" t="e">
        <f t="shared" si="3"/>
        <v>#N/A</v>
      </c>
      <c r="D20" s="47" t="e">
        <f t="shared" si="4"/>
        <v>#N/A</v>
      </c>
      <c r="E20" s="48" t="e">
        <f t="shared" si="5"/>
        <v>#N/A</v>
      </c>
      <c r="F20" s="48" t="e">
        <f t="shared" si="6"/>
        <v>#N/A</v>
      </c>
      <c r="G20" s="49" t="e">
        <f t="shared" si="7"/>
        <v>#N/A</v>
      </c>
      <c r="H20" s="48"/>
      <c r="I20" s="49" t="e">
        <f t="shared" si="8"/>
        <v>#N/A</v>
      </c>
      <c r="J20" s="48"/>
      <c r="K20" s="49"/>
      <c r="L20" s="48"/>
      <c r="M20" s="48"/>
      <c r="N20" s="50" t="e">
        <f t="shared" si="9"/>
        <v>#N/A</v>
      </c>
      <c r="O20" s="50" t="e">
        <f t="shared" si="10"/>
        <v>#N/A</v>
      </c>
      <c r="P20" s="50" t="e">
        <f t="shared" si="11"/>
        <v>#N/A</v>
      </c>
      <c r="Q20" s="50" t="e">
        <f t="shared" si="12"/>
        <v>#N/A</v>
      </c>
      <c r="R20" s="50"/>
      <c r="S20" s="51">
        <v>1</v>
      </c>
      <c r="U20" s="99"/>
    </row>
    <row r="21" spans="1:21" s="51" customFormat="1" ht="15" customHeight="1" x14ac:dyDescent="0.25">
      <c r="A21" s="46" t="s">
        <v>137</v>
      </c>
      <c r="B21" s="47" t="e">
        <f t="shared" si="2"/>
        <v>#N/A</v>
      </c>
      <c r="C21" s="47" t="e">
        <f t="shared" si="3"/>
        <v>#N/A</v>
      </c>
      <c r="D21" s="47" t="e">
        <f t="shared" si="4"/>
        <v>#N/A</v>
      </c>
      <c r="E21" s="48" t="e">
        <f t="shared" si="5"/>
        <v>#N/A</v>
      </c>
      <c r="F21" s="48" t="e">
        <f t="shared" si="6"/>
        <v>#N/A</v>
      </c>
      <c r="G21" s="49" t="e">
        <f t="shared" si="7"/>
        <v>#N/A</v>
      </c>
      <c r="H21" s="48"/>
      <c r="I21" s="49" t="e">
        <f t="shared" si="8"/>
        <v>#N/A</v>
      </c>
      <c r="J21" s="48"/>
      <c r="K21" s="49"/>
      <c r="L21" s="48"/>
      <c r="M21" s="48"/>
      <c r="N21" s="50" t="e">
        <f t="shared" si="9"/>
        <v>#N/A</v>
      </c>
      <c r="O21" s="50" t="e">
        <f t="shared" si="10"/>
        <v>#N/A</v>
      </c>
      <c r="P21" s="50" t="e">
        <f t="shared" si="11"/>
        <v>#N/A</v>
      </c>
      <c r="Q21" s="50" t="e">
        <f t="shared" si="12"/>
        <v>#N/A</v>
      </c>
      <c r="R21" s="50"/>
      <c r="S21" s="51">
        <v>1</v>
      </c>
      <c r="U21" s="99"/>
    </row>
    <row r="22" spans="1:21" s="57" customFormat="1" ht="15" customHeight="1" x14ac:dyDescent="0.25">
      <c r="A22" s="58"/>
      <c r="B22" s="254" t="s">
        <v>236</v>
      </c>
      <c r="C22" s="254"/>
      <c r="D22" s="255"/>
      <c r="E22" s="54" t="e">
        <f>SUM(E23:E24)</f>
        <v>#N/A</v>
      </c>
      <c r="F22" s="54" t="e">
        <f>SUM(F23:F24)</f>
        <v>#N/A</v>
      </c>
      <c r="G22" s="55" t="e">
        <f>SUM(G23:G24)</f>
        <v>#N/A</v>
      </c>
      <c r="H22" s="54"/>
      <c r="I22" s="55" t="e">
        <f>SUM(I23:I24)</f>
        <v>#N/A</v>
      </c>
      <c r="J22" s="54"/>
      <c r="K22" s="55"/>
      <c r="L22" s="54"/>
      <c r="M22" s="54"/>
      <c r="N22" s="56" t="e">
        <f>SUM(N23:N25)</f>
        <v>#N/A</v>
      </c>
      <c r="O22" s="56" t="e">
        <f>SUM(O23:O25)</f>
        <v>#N/A</v>
      </c>
      <c r="P22" s="56" t="e">
        <f>SUM(P23:P25)</f>
        <v>#N/A</v>
      </c>
      <c r="Q22" s="56" t="e">
        <f>SUM(Q23:Q25)</f>
        <v>#N/A</v>
      </c>
      <c r="R22" s="50"/>
      <c r="U22" s="99"/>
    </row>
    <row r="23" spans="1:21" s="51" customFormat="1" ht="15" customHeight="1" x14ac:dyDescent="0.25">
      <c r="A23" s="46" t="s">
        <v>14</v>
      </c>
      <c r="B23" s="47" t="str">
        <f>VLOOKUP(madang,nhanvien,2,FALSE)</f>
        <v>Nguyễn Xuân Hiếu</v>
      </c>
      <c r="C23" s="47" t="str">
        <f>VLOOKUP(madang,nhanvien,7,FALSE)</f>
        <v>P.TP</v>
      </c>
      <c r="D23" s="47" t="str">
        <f>VLOOKUP(madang,nhanvien,4,FALSE)</f>
        <v>Bậc 05</v>
      </c>
      <c r="E23" s="48">
        <f>VLOOKUP(madang,nhanvien,5,FALSE)</f>
        <v>3.66</v>
      </c>
      <c r="F23" s="48">
        <f>VLOOKUP(madang,nhanvien,8,FALSE)</f>
        <v>0.3</v>
      </c>
      <c r="G23" s="49">
        <f>VLOOKUP(madang,nhanvien,11,FALSE)</f>
        <v>0</v>
      </c>
      <c r="H23" s="48"/>
      <c r="I23" s="49">
        <f>VLOOKUP(madang,nhanvien,17,FALSE)</f>
        <v>0</v>
      </c>
      <c r="J23" s="48"/>
      <c r="K23" s="49"/>
      <c r="L23" s="48"/>
      <c r="M23" s="48"/>
      <c r="N23" s="50">
        <f>SUM(E23:M23)*luongcanban</f>
        <v>5900400</v>
      </c>
      <c r="O23" s="50">
        <f>N23*1%*70%</f>
        <v>41302.799999999996</v>
      </c>
      <c r="P23" s="50">
        <f>N23*1%*30%</f>
        <v>17701.2</v>
      </c>
      <c r="Q23" s="50">
        <f>SUM(O23:P23)</f>
        <v>59004</v>
      </c>
      <c r="R23" s="50"/>
      <c r="S23" s="51">
        <v>1</v>
      </c>
      <c r="U23" s="99"/>
    </row>
    <row r="24" spans="1:21" s="51" customFormat="1" ht="15" customHeight="1" x14ac:dyDescent="0.25">
      <c r="A24" s="46" t="s">
        <v>31</v>
      </c>
      <c r="B24" s="47" t="e">
        <f>VLOOKUP(madang,nhanvien,2,FALSE)</f>
        <v>#N/A</v>
      </c>
      <c r="C24" s="47" t="e">
        <f>VLOOKUP(madang,nhanvien,7,FALSE)</f>
        <v>#N/A</v>
      </c>
      <c r="D24" s="47" t="e">
        <f>VLOOKUP(madang,nhanvien,4,FALSE)</f>
        <v>#N/A</v>
      </c>
      <c r="E24" s="48" t="e">
        <f>VLOOKUP(madang,nhanvien,5,FALSE)</f>
        <v>#N/A</v>
      </c>
      <c r="F24" s="48" t="e">
        <f>VLOOKUP(madang,nhanvien,8,FALSE)</f>
        <v>#N/A</v>
      </c>
      <c r="G24" s="49" t="e">
        <f>VLOOKUP(madang,nhanvien,11,FALSE)</f>
        <v>#N/A</v>
      </c>
      <c r="H24" s="48"/>
      <c r="I24" s="49" t="e">
        <f>VLOOKUP(madang,nhanvien,17,FALSE)</f>
        <v>#N/A</v>
      </c>
      <c r="J24" s="48"/>
      <c r="K24" s="49"/>
      <c r="L24" s="48"/>
      <c r="M24" s="48"/>
      <c r="N24" s="50" t="e">
        <f>SUM(E24:M24)*luongcanban</f>
        <v>#N/A</v>
      </c>
      <c r="O24" s="50" t="e">
        <f>N24*1%*70%</f>
        <v>#N/A</v>
      </c>
      <c r="P24" s="50" t="e">
        <f>N24*1%*30%</f>
        <v>#N/A</v>
      </c>
      <c r="Q24" s="50" t="e">
        <f>SUM(O24:P24)</f>
        <v>#N/A</v>
      </c>
      <c r="R24" s="50"/>
      <c r="S24" s="51">
        <v>1</v>
      </c>
      <c r="U24" s="99"/>
    </row>
    <row r="25" spans="1:21" s="51" customFormat="1" ht="15" customHeight="1" x14ac:dyDescent="0.25">
      <c r="A25" s="46" t="s">
        <v>231</v>
      </c>
      <c r="B25" s="47" t="str">
        <f>VLOOKUP(madang,nhanvien,2,FALSE)</f>
        <v>Võ Văn Đô</v>
      </c>
      <c r="C25" s="47" t="str">
        <f>VLOOKUP(madang,nhanvien,7,FALSE)</f>
        <v>NV</v>
      </c>
      <c r="D25" s="47" t="str">
        <f>VLOOKUP(madang,nhanvien,4,FALSE)</f>
        <v>Bậc 09</v>
      </c>
      <c r="E25" s="48">
        <f>VLOOKUP(madang,nhanvien,5,FALSE)</f>
        <v>3.49</v>
      </c>
      <c r="F25" s="48">
        <f>VLOOKUP(madang,nhanvien,8,FALSE)</f>
        <v>0</v>
      </c>
      <c r="G25" s="49">
        <f>VLOOKUP(madang,nhanvien,11,FALSE)</f>
        <v>0</v>
      </c>
      <c r="H25" s="48"/>
      <c r="I25" s="49">
        <f>VLOOKUP(madang,nhanvien,17,FALSE)</f>
        <v>0</v>
      </c>
      <c r="J25" s="48"/>
      <c r="K25" s="49"/>
      <c r="L25" s="48"/>
      <c r="M25" s="48"/>
      <c r="N25" s="50">
        <f>SUM(E25:M25)*luongcanban</f>
        <v>5200100</v>
      </c>
      <c r="O25" s="50">
        <f>N25*1%*70%</f>
        <v>36400.699999999997</v>
      </c>
      <c r="P25" s="50">
        <f>N25*1%*30%</f>
        <v>15600.3</v>
      </c>
      <c r="Q25" s="50">
        <f>SUM(O25:P25)</f>
        <v>52001</v>
      </c>
      <c r="R25" s="50"/>
      <c r="S25" s="51">
        <v>1</v>
      </c>
    </row>
    <row r="26" spans="1:21" s="57" customFormat="1" ht="15" customHeight="1" x14ac:dyDescent="0.25">
      <c r="A26" s="58"/>
      <c r="B26" s="254" t="s">
        <v>238</v>
      </c>
      <c r="C26" s="254"/>
      <c r="D26" s="255"/>
      <c r="E26" s="54">
        <f t="shared" ref="E26:N26" si="13">SUM(E27:E36)</f>
        <v>32.929999999999993</v>
      </c>
      <c r="F26" s="54">
        <f t="shared" si="13"/>
        <v>0.8</v>
      </c>
      <c r="G26" s="55">
        <f t="shared" si="13"/>
        <v>0</v>
      </c>
      <c r="H26" s="54"/>
      <c r="I26" s="55">
        <f t="shared" si="13"/>
        <v>3.7477999999999998</v>
      </c>
      <c r="J26" s="54"/>
      <c r="K26" s="55"/>
      <c r="L26" s="54"/>
      <c r="M26" s="54"/>
      <c r="N26" s="56">
        <f t="shared" si="13"/>
        <v>55841922</v>
      </c>
      <c r="O26" s="56">
        <f>SUM(O27:O36)</f>
        <v>390893.45399999991</v>
      </c>
      <c r="P26" s="56">
        <f>SUM(P27:P36)</f>
        <v>167525.76600000003</v>
      </c>
      <c r="Q26" s="56">
        <f>SUM(Q27:Q36)</f>
        <v>558419.22</v>
      </c>
      <c r="R26" s="50"/>
    </row>
    <row r="27" spans="1:21" s="51" customFormat="1" ht="15" customHeight="1" x14ac:dyDescent="0.25">
      <c r="A27" s="46" t="s">
        <v>34</v>
      </c>
      <c r="B27" s="47" t="str">
        <f t="shared" ref="B27:B36" si="14">VLOOKUP(madang,nhanvien,2,FALSE)</f>
        <v>Nguyễn Xuân Phát</v>
      </c>
      <c r="C27" s="47" t="str">
        <f t="shared" ref="C27:C36" si="15">VLOOKUP(madang,nhanvien,7,FALSE)</f>
        <v>P.HT</v>
      </c>
      <c r="D27" s="47" t="str">
        <f t="shared" ref="D27:D36" si="16">VLOOKUP(madang,nhanvien,4,FALSE)</f>
        <v>Bậc 08</v>
      </c>
      <c r="E27" s="48">
        <f t="shared" ref="E27:E36" si="17">VLOOKUP(madang,nhanvien,5,FALSE)</f>
        <v>4.9800000000000004</v>
      </c>
      <c r="F27" s="48">
        <f t="shared" ref="F27:F36" si="18">VLOOKUP(madang,nhanvien,8,FALSE)</f>
        <v>0.3</v>
      </c>
      <c r="G27" s="49">
        <f t="shared" ref="G27:G36" si="19">VLOOKUP(madang,nhanvien,11,FALSE)</f>
        <v>0</v>
      </c>
      <c r="H27" s="48"/>
      <c r="I27" s="49">
        <f t="shared" ref="I27:I36" si="20">VLOOKUP(madang,nhanvien,17,FALSE)</f>
        <v>1.2672000000000001</v>
      </c>
      <c r="J27" s="48"/>
      <c r="K27" s="49"/>
      <c r="L27" s="48"/>
      <c r="M27" s="48"/>
      <c r="N27" s="50">
        <f t="shared" ref="N27:N36" si="21">SUM(E27:M27)*luongcanban</f>
        <v>9755328</v>
      </c>
      <c r="O27" s="50">
        <f t="shared" ref="O27:O36" si="22">N27*1%*70%</f>
        <v>68287.296000000002</v>
      </c>
      <c r="P27" s="50">
        <f t="shared" ref="P27:P36" si="23">N27*1%*30%</f>
        <v>29265.984</v>
      </c>
      <c r="Q27" s="50">
        <f t="shared" ref="Q27:Q36" si="24">SUM(O27:P27)</f>
        <v>97553.279999999999</v>
      </c>
      <c r="R27" s="50"/>
      <c r="S27" s="51">
        <v>1</v>
      </c>
    </row>
    <row r="28" spans="1:21" s="51" customFormat="1" ht="15" customHeight="1" x14ac:dyDescent="0.25">
      <c r="A28" s="46" t="s">
        <v>35</v>
      </c>
      <c r="B28" s="47" t="str">
        <f t="shared" si="14"/>
        <v>Lê Thanh Trị</v>
      </c>
      <c r="C28" s="47" t="str">
        <f t="shared" si="15"/>
        <v>NV</v>
      </c>
      <c r="D28" s="47" t="str">
        <f t="shared" si="16"/>
        <v>Bậc 12</v>
      </c>
      <c r="E28" s="48">
        <f t="shared" si="17"/>
        <v>4.0599999999999996</v>
      </c>
      <c r="F28" s="48">
        <f t="shared" si="18"/>
        <v>0</v>
      </c>
      <c r="G28" s="49">
        <f t="shared" si="19"/>
        <v>0</v>
      </c>
      <c r="H28" s="48"/>
      <c r="I28" s="49">
        <f t="shared" si="20"/>
        <v>0.97439999999999982</v>
      </c>
      <c r="J28" s="48"/>
      <c r="K28" s="49"/>
      <c r="L28" s="48"/>
      <c r="M28" s="48"/>
      <c r="N28" s="50">
        <f t="shared" si="21"/>
        <v>7501256</v>
      </c>
      <c r="O28" s="50">
        <f t="shared" si="22"/>
        <v>52508.791999999994</v>
      </c>
      <c r="P28" s="50">
        <f t="shared" si="23"/>
        <v>22503.768</v>
      </c>
      <c r="Q28" s="50">
        <f t="shared" si="24"/>
        <v>75012.56</v>
      </c>
      <c r="R28" s="50"/>
      <c r="S28" s="51">
        <v>1</v>
      </c>
    </row>
    <row r="29" spans="1:21" s="51" customFormat="1" ht="15" customHeight="1" x14ac:dyDescent="0.25">
      <c r="A29" s="46" t="s">
        <v>36</v>
      </c>
      <c r="B29" s="47" t="str">
        <f t="shared" si="14"/>
        <v>Trần Văn Lực</v>
      </c>
      <c r="C29" s="47" t="str">
        <f t="shared" si="15"/>
        <v>NV</v>
      </c>
      <c r="D29" s="47" t="str">
        <f t="shared" si="16"/>
        <v>Bậc 08</v>
      </c>
      <c r="E29" s="48">
        <f t="shared" si="17"/>
        <v>3.26</v>
      </c>
      <c r="F29" s="48">
        <f t="shared" si="18"/>
        <v>0</v>
      </c>
      <c r="G29" s="49">
        <f t="shared" si="19"/>
        <v>0</v>
      </c>
      <c r="H29" s="48"/>
      <c r="I29" s="49">
        <f t="shared" si="20"/>
        <v>0.52159999999999995</v>
      </c>
      <c r="J29" s="48"/>
      <c r="K29" s="49"/>
      <c r="L29" s="48"/>
      <c r="M29" s="48"/>
      <c r="N29" s="50">
        <f t="shared" si="21"/>
        <v>5634583.9999999991</v>
      </c>
      <c r="O29" s="50">
        <f t="shared" si="22"/>
        <v>39442.087999999989</v>
      </c>
      <c r="P29" s="50">
        <f t="shared" si="23"/>
        <v>16903.751999999997</v>
      </c>
      <c r="Q29" s="50">
        <f t="shared" si="24"/>
        <v>56345.839999999982</v>
      </c>
      <c r="R29" s="50"/>
      <c r="S29" s="51">
        <v>1</v>
      </c>
    </row>
    <row r="30" spans="1:21" s="51" customFormat="1" ht="15" customHeight="1" x14ac:dyDescent="0.25">
      <c r="A30" s="46" t="s">
        <v>37</v>
      </c>
      <c r="B30" s="47" t="str">
        <f t="shared" si="14"/>
        <v>Phạm Kim Long</v>
      </c>
      <c r="C30" s="47" t="str">
        <f t="shared" si="15"/>
        <v>NV</v>
      </c>
      <c r="D30" s="47" t="str">
        <f t="shared" si="16"/>
        <v>Bậc 10</v>
      </c>
      <c r="E30" s="48">
        <f t="shared" si="17"/>
        <v>3.66</v>
      </c>
      <c r="F30" s="48">
        <f t="shared" si="18"/>
        <v>0</v>
      </c>
      <c r="G30" s="49">
        <f t="shared" si="19"/>
        <v>0</v>
      </c>
      <c r="H30" s="48"/>
      <c r="I30" s="49">
        <f t="shared" si="20"/>
        <v>0.58560000000000001</v>
      </c>
      <c r="J30" s="48"/>
      <c r="K30" s="49"/>
      <c r="L30" s="48"/>
      <c r="M30" s="48"/>
      <c r="N30" s="50">
        <f>SUM(E30:M30)*luongcanban</f>
        <v>6325944.0000000009</v>
      </c>
      <c r="O30" s="50">
        <f t="shared" si="22"/>
        <v>44281.608000000007</v>
      </c>
      <c r="P30" s="50">
        <f>N30*1%*30%</f>
        <v>18977.832000000002</v>
      </c>
      <c r="Q30" s="50">
        <f t="shared" si="24"/>
        <v>63259.44000000001</v>
      </c>
      <c r="R30" s="50"/>
      <c r="S30" s="51">
        <v>1</v>
      </c>
    </row>
    <row r="31" spans="1:21" s="51" customFormat="1" ht="15" customHeight="1" x14ac:dyDescent="0.25">
      <c r="A31" s="46" t="s">
        <v>38</v>
      </c>
      <c r="B31" s="47" t="str">
        <f t="shared" si="14"/>
        <v>Nguyễn Văn Bình</v>
      </c>
      <c r="C31" s="47" t="str">
        <f t="shared" si="15"/>
        <v>NV</v>
      </c>
      <c r="D31" s="47" t="str">
        <f t="shared" si="16"/>
        <v>Bậc 05</v>
      </c>
      <c r="E31" s="48">
        <f t="shared" si="17"/>
        <v>2.66</v>
      </c>
      <c r="F31" s="48">
        <f t="shared" si="18"/>
        <v>0</v>
      </c>
      <c r="G31" s="49">
        <f t="shared" si="19"/>
        <v>0</v>
      </c>
      <c r="H31" s="48"/>
      <c r="I31" s="49">
        <f t="shared" si="20"/>
        <v>0.21280000000000002</v>
      </c>
      <c r="J31" s="48"/>
      <c r="K31" s="49"/>
      <c r="L31" s="48"/>
      <c r="M31" s="48"/>
      <c r="N31" s="50">
        <f>SUM(E31:M31)*luongcanban</f>
        <v>4280472</v>
      </c>
      <c r="O31" s="50">
        <f t="shared" si="22"/>
        <v>29963.304</v>
      </c>
      <c r="P31" s="50">
        <f>N31*1%*30%</f>
        <v>12841.415999999999</v>
      </c>
      <c r="Q31" s="50">
        <f t="shared" si="24"/>
        <v>42804.72</v>
      </c>
      <c r="R31" s="50"/>
      <c r="S31" s="51">
        <v>1</v>
      </c>
    </row>
    <row r="32" spans="1:21" s="51" customFormat="1" ht="15" customHeight="1" x14ac:dyDescent="0.25">
      <c r="A32" s="46" t="s">
        <v>39</v>
      </c>
      <c r="B32" s="47" t="str">
        <f t="shared" si="14"/>
        <v>Nguyễn Minh Thuận</v>
      </c>
      <c r="C32" s="47" t="str">
        <f t="shared" si="15"/>
        <v>NV</v>
      </c>
      <c r="D32" s="47" t="str">
        <f t="shared" si="16"/>
        <v>Bậc 05</v>
      </c>
      <c r="E32" s="48">
        <f t="shared" si="17"/>
        <v>2.66</v>
      </c>
      <c r="F32" s="48">
        <f t="shared" si="18"/>
        <v>0</v>
      </c>
      <c r="G32" s="49">
        <f t="shared" si="19"/>
        <v>0</v>
      </c>
      <c r="H32" s="48"/>
      <c r="I32" s="49">
        <f t="shared" si="20"/>
        <v>0.18620000000000003</v>
      </c>
      <c r="J32" s="48"/>
      <c r="K32" s="49"/>
      <c r="L32" s="48"/>
      <c r="M32" s="48"/>
      <c r="N32" s="50">
        <f t="shared" si="21"/>
        <v>4240838</v>
      </c>
      <c r="O32" s="50">
        <f t="shared" si="22"/>
        <v>29685.865999999995</v>
      </c>
      <c r="P32" s="50">
        <f t="shared" si="23"/>
        <v>12722.513999999999</v>
      </c>
      <c r="Q32" s="50">
        <f t="shared" si="24"/>
        <v>42408.37999999999</v>
      </c>
      <c r="R32" s="50"/>
      <c r="S32" s="51">
        <v>1</v>
      </c>
    </row>
    <row r="33" spans="1:19" s="51" customFormat="1" ht="15" customHeight="1" x14ac:dyDescent="0.25">
      <c r="A33" s="46" t="s">
        <v>42</v>
      </c>
      <c r="B33" s="47" t="str">
        <f t="shared" si="14"/>
        <v>Mai Duy Tuân</v>
      </c>
      <c r="C33" s="47" t="str">
        <f t="shared" si="15"/>
        <v>NV</v>
      </c>
      <c r="D33" s="47" t="str">
        <f t="shared" si="16"/>
        <v>Bậc 04</v>
      </c>
      <c r="E33" s="48">
        <f t="shared" si="17"/>
        <v>2.46</v>
      </c>
      <c r="F33" s="48">
        <f t="shared" si="18"/>
        <v>0</v>
      </c>
      <c r="G33" s="49">
        <f t="shared" si="19"/>
        <v>0</v>
      </c>
      <c r="H33" s="48"/>
      <c r="I33" s="49">
        <f t="shared" si="20"/>
        <v>0</v>
      </c>
      <c r="J33" s="48"/>
      <c r="K33" s="49"/>
      <c r="L33" s="48"/>
      <c r="M33" s="48"/>
      <c r="N33" s="50">
        <f>SUM(E33:M33)*luongcanban</f>
        <v>3665400</v>
      </c>
      <c r="O33" s="50">
        <f>N33*1%*70%</f>
        <v>25657.8</v>
      </c>
      <c r="P33" s="50">
        <f>N33*1%*30%</f>
        <v>10996.199999999999</v>
      </c>
      <c r="Q33" s="50">
        <f t="shared" si="24"/>
        <v>36654</v>
      </c>
      <c r="R33" s="50"/>
      <c r="S33" s="51">
        <v>1</v>
      </c>
    </row>
    <row r="34" spans="1:19" s="51" customFormat="1" ht="15" customHeight="1" x14ac:dyDescent="0.25">
      <c r="A34" s="46" t="s">
        <v>43</v>
      </c>
      <c r="B34" s="47" t="str">
        <f t="shared" si="14"/>
        <v>Lê Văn Nam</v>
      </c>
      <c r="C34" s="47" t="str">
        <f t="shared" si="15"/>
        <v>NV</v>
      </c>
      <c r="D34" s="47" t="str">
        <f t="shared" si="16"/>
        <v>Bậc 02</v>
      </c>
      <c r="E34" s="48">
        <f t="shared" si="17"/>
        <v>2.67</v>
      </c>
      <c r="F34" s="48">
        <f t="shared" si="18"/>
        <v>0</v>
      </c>
      <c r="G34" s="49">
        <f t="shared" si="19"/>
        <v>0</v>
      </c>
      <c r="H34" s="48"/>
      <c r="I34" s="49">
        <f t="shared" si="20"/>
        <v>0</v>
      </c>
      <c r="J34" s="48"/>
      <c r="K34" s="49"/>
      <c r="L34" s="48"/>
      <c r="M34" s="48"/>
      <c r="N34" s="50">
        <f>SUM(E34:M34)*luongcanban</f>
        <v>3978300</v>
      </c>
      <c r="O34" s="50">
        <f t="shared" si="22"/>
        <v>27848.1</v>
      </c>
      <c r="P34" s="50">
        <f>N34*1%*30%</f>
        <v>11934.9</v>
      </c>
      <c r="Q34" s="50">
        <f t="shared" si="24"/>
        <v>39783</v>
      </c>
      <c r="R34" s="50"/>
      <c r="S34" s="51">
        <v>1</v>
      </c>
    </row>
    <row r="35" spans="1:19" s="51" customFormat="1" ht="15" customHeight="1" x14ac:dyDescent="0.25">
      <c r="A35" s="46" t="s">
        <v>44</v>
      </c>
      <c r="B35" s="47" t="str">
        <f t="shared" si="14"/>
        <v>Nguyễn Thành Sơn</v>
      </c>
      <c r="C35" s="47" t="str">
        <f t="shared" si="15"/>
        <v>NV</v>
      </c>
      <c r="D35" s="47" t="str">
        <f t="shared" si="16"/>
        <v>Bậc 06</v>
      </c>
      <c r="E35" s="48">
        <f t="shared" si="17"/>
        <v>2.86</v>
      </c>
      <c r="F35" s="48">
        <f t="shared" si="18"/>
        <v>0</v>
      </c>
      <c r="G35" s="49">
        <f t="shared" si="19"/>
        <v>0</v>
      </c>
      <c r="H35" s="48"/>
      <c r="I35" s="49">
        <f t="shared" si="20"/>
        <v>0</v>
      </c>
      <c r="J35" s="48"/>
      <c r="K35" s="49"/>
      <c r="L35" s="48"/>
      <c r="M35" s="48"/>
      <c r="N35" s="50">
        <f>SUM(E35:M35)*luongcanban</f>
        <v>4261400</v>
      </c>
      <c r="O35" s="50">
        <f t="shared" si="22"/>
        <v>29829.8</v>
      </c>
      <c r="P35" s="50">
        <f>N35*1%*30%</f>
        <v>12784.199999999999</v>
      </c>
      <c r="Q35" s="50">
        <f t="shared" si="24"/>
        <v>42614</v>
      </c>
      <c r="R35" s="50"/>
      <c r="S35" s="51">
        <v>1</v>
      </c>
    </row>
    <row r="36" spans="1:19" s="51" customFormat="1" ht="15" customHeight="1" x14ac:dyDescent="0.25">
      <c r="A36" s="46" t="s">
        <v>45</v>
      </c>
      <c r="B36" s="47" t="str">
        <f t="shared" si="14"/>
        <v>Phạm Xuân Thành</v>
      </c>
      <c r="C36" s="47" t="str">
        <f t="shared" si="15"/>
        <v>TP</v>
      </c>
      <c r="D36" s="47" t="str">
        <f t="shared" si="16"/>
        <v>Bậc 05</v>
      </c>
      <c r="E36" s="48">
        <f t="shared" si="17"/>
        <v>3.66</v>
      </c>
      <c r="F36" s="48">
        <f t="shared" si="18"/>
        <v>0.5</v>
      </c>
      <c r="G36" s="49">
        <f t="shared" si="19"/>
        <v>0</v>
      </c>
      <c r="H36" s="48"/>
      <c r="I36" s="49">
        <f t="shared" si="20"/>
        <v>0</v>
      </c>
      <c r="J36" s="48"/>
      <c r="K36" s="49"/>
      <c r="L36" s="48"/>
      <c r="M36" s="48"/>
      <c r="N36" s="50">
        <f t="shared" si="21"/>
        <v>6198400</v>
      </c>
      <c r="O36" s="50">
        <f t="shared" si="22"/>
        <v>43388.799999999996</v>
      </c>
      <c r="P36" s="50">
        <f t="shared" si="23"/>
        <v>18595.2</v>
      </c>
      <c r="Q36" s="50">
        <f t="shared" si="24"/>
        <v>61984</v>
      </c>
      <c r="R36" s="50"/>
      <c r="S36" s="51">
        <v>1</v>
      </c>
    </row>
    <row r="37" spans="1:19" s="57" customFormat="1" ht="15" customHeight="1" x14ac:dyDescent="0.25">
      <c r="A37" s="58"/>
      <c r="B37" s="254" t="s">
        <v>256</v>
      </c>
      <c r="C37" s="254"/>
      <c r="D37" s="255"/>
      <c r="E37" s="54">
        <f>SUM(E38:E41)</f>
        <v>11.6</v>
      </c>
      <c r="F37" s="54">
        <f>SUM(F38:F41)</f>
        <v>0.3</v>
      </c>
      <c r="G37" s="55">
        <f>SUM(G38:G41)</f>
        <v>0</v>
      </c>
      <c r="H37" s="54"/>
      <c r="I37" s="55">
        <f>SUM(I38:I41)</f>
        <v>0</v>
      </c>
      <c r="J37" s="54"/>
      <c r="K37" s="55"/>
      <c r="L37" s="54"/>
      <c r="M37" s="54"/>
      <c r="N37" s="56">
        <f>SUM(N38:N42)</f>
        <v>21709300</v>
      </c>
      <c r="O37" s="56">
        <f>SUM(O38:O42)</f>
        <v>151965.1</v>
      </c>
      <c r="P37" s="56">
        <f>SUM(P38:P42)</f>
        <v>65127.899999999994</v>
      </c>
      <c r="Q37" s="56">
        <f>SUM(Q38:Q42)</f>
        <v>217093</v>
      </c>
      <c r="R37" s="50"/>
    </row>
    <row r="38" spans="1:19" s="51" customFormat="1" ht="15" customHeight="1" x14ac:dyDescent="0.25">
      <c r="A38" s="46" t="s">
        <v>46</v>
      </c>
      <c r="B38" s="47" t="str">
        <f>VLOOKUP(madang,nhanvien,2,FALSE)</f>
        <v>Nguyễn Thị Tuyết Mai</v>
      </c>
      <c r="C38" s="47" t="str">
        <f>VLOOKUP(madang,nhanvien,7,FALSE)</f>
        <v>P.TP</v>
      </c>
      <c r="D38" s="47" t="str">
        <f>VLOOKUP(madang,nhanvien,4,FALSE)</f>
        <v>Bậc 04</v>
      </c>
      <c r="E38" s="48">
        <f>VLOOKUP(madang,nhanvien,5,FALSE)</f>
        <v>3.33</v>
      </c>
      <c r="F38" s="48">
        <f>VLOOKUP(madang,nhanvien,8,FALSE)</f>
        <v>0.3</v>
      </c>
      <c r="G38" s="49">
        <f>VLOOKUP(madang,nhanvien,11,FALSE)</f>
        <v>0</v>
      </c>
      <c r="H38" s="48"/>
      <c r="I38" s="49">
        <f>VLOOKUP(madang,nhanvien,17,FALSE)</f>
        <v>0</v>
      </c>
      <c r="J38" s="48"/>
      <c r="K38" s="49"/>
      <c r="L38" s="48"/>
      <c r="M38" s="48"/>
      <c r="N38" s="50">
        <f>SUM(E38:M38)*luongcanban</f>
        <v>5408700</v>
      </c>
      <c r="O38" s="50">
        <f t="shared" ref="O38:O47" si="25">N38*1%*70%</f>
        <v>37860.899999999994</v>
      </c>
      <c r="P38" s="50">
        <f>N38*1%*30%</f>
        <v>16226.099999999999</v>
      </c>
      <c r="Q38" s="50">
        <f>SUM(O38:P38)</f>
        <v>54086.999999999993</v>
      </c>
      <c r="R38" s="50"/>
      <c r="S38" s="51">
        <v>1</v>
      </c>
    </row>
    <row r="39" spans="1:19" s="51" customFormat="1" ht="15" customHeight="1" x14ac:dyDescent="0.25">
      <c r="A39" s="46" t="s">
        <v>47</v>
      </c>
      <c r="B39" s="47" t="str">
        <f>VLOOKUP(madang,nhanvien,2,FALSE)</f>
        <v>Nguyễn Thị Cẩm Tú</v>
      </c>
      <c r="C39" s="47" t="str">
        <f>VLOOKUP(madang,nhanvien,7,FALSE)</f>
        <v>NV</v>
      </c>
      <c r="D39" s="47" t="str">
        <f>VLOOKUP(madang,nhanvien,4,FALSE)</f>
        <v>Bậc 06</v>
      </c>
      <c r="E39" s="48">
        <f>VLOOKUP(madang,nhanvien,5,FALSE)</f>
        <v>2.86</v>
      </c>
      <c r="F39" s="48">
        <f>VLOOKUP(madang,nhanvien,8,FALSE)</f>
        <v>0</v>
      </c>
      <c r="G39" s="49">
        <f>VLOOKUP(madang,nhanvien,11,FALSE)</f>
        <v>0</v>
      </c>
      <c r="H39" s="48"/>
      <c r="I39" s="49">
        <f>VLOOKUP(madang,nhanvien,17,FALSE)</f>
        <v>0</v>
      </c>
      <c r="J39" s="48"/>
      <c r="K39" s="49"/>
      <c r="L39" s="48"/>
      <c r="M39" s="48"/>
      <c r="N39" s="50">
        <f>SUM(E39:M39)*luongcanban</f>
        <v>4261400</v>
      </c>
      <c r="O39" s="50">
        <f t="shared" si="25"/>
        <v>29829.8</v>
      </c>
      <c r="P39" s="50">
        <f>N39*1%*30%</f>
        <v>12784.199999999999</v>
      </c>
      <c r="Q39" s="50">
        <f>SUM(O39:P39)</f>
        <v>42614</v>
      </c>
      <c r="R39" s="50"/>
      <c r="S39" s="51">
        <v>1</v>
      </c>
    </row>
    <row r="40" spans="1:19" s="51" customFormat="1" ht="15" customHeight="1" x14ac:dyDescent="0.25">
      <c r="A40" s="46" t="s">
        <v>48</v>
      </c>
      <c r="B40" s="47" t="str">
        <f>VLOOKUP(madang,nhanvien,2,FALSE)</f>
        <v>Bùi Thị Oanh</v>
      </c>
      <c r="C40" s="47" t="str">
        <f>VLOOKUP(madang,nhanvien,7,FALSE)</f>
        <v>NV</v>
      </c>
      <c r="D40" s="47" t="str">
        <f>VLOOKUP(madang,nhanvien,4,FALSE)</f>
        <v>Bậc 02</v>
      </c>
      <c r="E40" s="48">
        <f>VLOOKUP(madang,nhanvien,5,FALSE)</f>
        <v>2.41</v>
      </c>
      <c r="F40" s="48">
        <f>VLOOKUP(madang,nhanvien,8,FALSE)</f>
        <v>0</v>
      </c>
      <c r="G40" s="49">
        <f>VLOOKUP(madang,nhanvien,11,FALSE)</f>
        <v>0</v>
      </c>
      <c r="H40" s="48"/>
      <c r="I40" s="49">
        <f>VLOOKUP(madang,nhanvien,17,FALSE)</f>
        <v>0</v>
      </c>
      <c r="J40" s="48"/>
      <c r="K40" s="49"/>
      <c r="L40" s="48"/>
      <c r="M40" s="48"/>
      <c r="N40" s="50">
        <f>SUM(E40:M40)*luongcanban</f>
        <v>3590900</v>
      </c>
      <c r="O40" s="50">
        <f>N40*1%*70%</f>
        <v>25136.3</v>
      </c>
      <c r="P40" s="50">
        <f>N40*1%*30%</f>
        <v>10772.699999999999</v>
      </c>
      <c r="Q40" s="50">
        <f>SUM(O40:P40)</f>
        <v>35909</v>
      </c>
      <c r="R40" s="50"/>
      <c r="S40" s="51">
        <v>1</v>
      </c>
    </row>
    <row r="41" spans="1:19" s="51" customFormat="1" ht="15" customHeight="1" x14ac:dyDescent="0.25">
      <c r="A41" s="46" t="s">
        <v>113</v>
      </c>
      <c r="B41" s="47" t="str">
        <f>VLOOKUP(madang,nhanvien,2,FALSE)</f>
        <v>Trần Nam San</v>
      </c>
      <c r="C41" s="47" t="str">
        <f>VLOOKUP(madang,nhanvien,7,FALSE)</f>
        <v>NV</v>
      </c>
      <c r="D41" s="47" t="str">
        <f>VLOOKUP(madang,nhanvien,4,FALSE)</f>
        <v>Bậc 03</v>
      </c>
      <c r="E41" s="48">
        <f>VLOOKUP(madang,nhanvien,5,FALSE)</f>
        <v>3</v>
      </c>
      <c r="F41" s="48">
        <f>VLOOKUP(madang,nhanvien,8,FALSE)</f>
        <v>0</v>
      </c>
      <c r="G41" s="49">
        <f>VLOOKUP(madang,nhanvien,11,FALSE)</f>
        <v>0</v>
      </c>
      <c r="H41" s="48"/>
      <c r="I41" s="49">
        <f>VLOOKUP(madang,nhanvien,17,FALSE)</f>
        <v>0</v>
      </c>
      <c r="J41" s="48"/>
      <c r="K41" s="49"/>
      <c r="L41" s="48"/>
      <c r="M41" s="48"/>
      <c r="N41" s="50">
        <f>SUM(E41:M41)*luongcanban</f>
        <v>4470000</v>
      </c>
      <c r="O41" s="50">
        <f t="shared" si="25"/>
        <v>31289.999999999996</v>
      </c>
      <c r="P41" s="50">
        <f>N41*1%*30%</f>
        <v>13410</v>
      </c>
      <c r="Q41" s="50">
        <f>SUM(O41:P41)</f>
        <v>44700</v>
      </c>
      <c r="R41" s="50"/>
      <c r="S41" s="51">
        <v>1</v>
      </c>
    </row>
    <row r="42" spans="1:19" s="51" customFormat="1" ht="15" customHeight="1" x14ac:dyDescent="0.25">
      <c r="A42" s="46" t="s">
        <v>229</v>
      </c>
      <c r="B42" s="47" t="str">
        <f>VLOOKUP(madang,nhanvien,2,FALSE)</f>
        <v>Trương Văn Thạch</v>
      </c>
      <c r="C42" s="47" t="str">
        <f>VLOOKUP(madang,nhanvien,7,FALSE)</f>
        <v>NV</v>
      </c>
      <c r="D42" s="47" t="str">
        <f>VLOOKUP(madang,nhanvien,4,FALSE)</f>
        <v>Bậc 02</v>
      </c>
      <c r="E42" s="48">
        <f>VLOOKUP(madang,nhanvien,5,FALSE)</f>
        <v>2.67</v>
      </c>
      <c r="F42" s="48">
        <f>VLOOKUP(madang,nhanvien,8,FALSE)</f>
        <v>0</v>
      </c>
      <c r="G42" s="49">
        <f>VLOOKUP(madang,nhanvien,11,FALSE)</f>
        <v>0</v>
      </c>
      <c r="H42" s="48"/>
      <c r="I42" s="49">
        <f>VLOOKUP(madang,nhanvien,17,FALSE)</f>
        <v>0</v>
      </c>
      <c r="J42" s="48"/>
      <c r="K42" s="49"/>
      <c r="L42" s="48"/>
      <c r="M42" s="48"/>
      <c r="N42" s="50">
        <f>SUM(E42:M42)*luongcanban</f>
        <v>3978300</v>
      </c>
      <c r="O42" s="50">
        <f>N42*1%*70%</f>
        <v>27848.1</v>
      </c>
      <c r="P42" s="50">
        <f>N42*1%*30%</f>
        <v>11934.9</v>
      </c>
      <c r="Q42" s="50">
        <f>SUM(O42:P42)</f>
        <v>39783</v>
      </c>
      <c r="R42" s="50"/>
      <c r="S42" s="51">
        <v>1</v>
      </c>
    </row>
    <row r="43" spans="1:19" s="57" customFormat="1" ht="15" customHeight="1" x14ac:dyDescent="0.25">
      <c r="A43" s="58"/>
      <c r="B43" s="254" t="s">
        <v>277</v>
      </c>
      <c r="C43" s="254"/>
      <c r="D43" s="255"/>
      <c r="E43" s="54">
        <f>SUM(E44:E51)</f>
        <v>0</v>
      </c>
      <c r="F43" s="54">
        <f>SUM(F44:F51)</f>
        <v>0</v>
      </c>
      <c r="G43" s="55">
        <f>SUM(G44:G51)</f>
        <v>0</v>
      </c>
      <c r="H43" s="54">
        <f>SUM(H44:H51)</f>
        <v>0</v>
      </c>
      <c r="I43" s="55">
        <f>SUM(I44:I51)</f>
        <v>0</v>
      </c>
      <c r="J43" s="54"/>
      <c r="K43" s="55"/>
      <c r="L43" s="54"/>
      <c r="M43" s="54"/>
      <c r="N43" s="56">
        <f>SUM(N44:N51)</f>
        <v>37100000</v>
      </c>
      <c r="O43" s="56">
        <f>SUM(O44:O51)</f>
        <v>259700</v>
      </c>
      <c r="P43" s="56">
        <f>SUM(P44:P51)</f>
        <v>111300</v>
      </c>
      <c r="Q43" s="56">
        <f>SUM(Q44:Q51)</f>
        <v>371000</v>
      </c>
      <c r="R43" s="50"/>
    </row>
    <row r="44" spans="1:19" s="51" customFormat="1" ht="15" customHeight="1" x14ac:dyDescent="0.25">
      <c r="A44" s="46"/>
      <c r="B44" s="47" t="s">
        <v>276</v>
      </c>
      <c r="C44" s="47"/>
      <c r="D44" s="47"/>
      <c r="E44" s="48"/>
      <c r="F44" s="48"/>
      <c r="G44" s="49"/>
      <c r="H44" s="48"/>
      <c r="I44" s="49"/>
      <c r="J44" s="48"/>
      <c r="K44" s="49"/>
      <c r="L44" s="48"/>
      <c r="M44" s="48"/>
      <c r="N44" s="50">
        <v>4900000</v>
      </c>
      <c r="O44" s="50">
        <f t="shared" si="25"/>
        <v>34300</v>
      </c>
      <c r="P44" s="50">
        <f t="shared" ref="P44:P51" si="26">N44*1%*30%</f>
        <v>14700</v>
      </c>
      <c r="Q44" s="50">
        <f t="shared" ref="Q44:Q51" si="27">SUM(O44:P44)</f>
        <v>49000</v>
      </c>
      <c r="R44" s="50"/>
      <c r="S44" s="51">
        <v>1</v>
      </c>
    </row>
    <row r="45" spans="1:19" s="51" customFormat="1" ht="15" customHeight="1" x14ac:dyDescent="0.25">
      <c r="A45" s="46"/>
      <c r="B45" s="47" t="s">
        <v>472</v>
      </c>
      <c r="C45" s="47"/>
      <c r="D45" s="47"/>
      <c r="E45" s="48"/>
      <c r="F45" s="48"/>
      <c r="G45" s="49"/>
      <c r="H45" s="48"/>
      <c r="I45" s="49"/>
      <c r="J45" s="48"/>
      <c r="K45" s="49"/>
      <c r="L45" s="48"/>
      <c r="M45" s="48"/>
      <c r="N45" s="50">
        <v>4900000</v>
      </c>
      <c r="O45" s="50">
        <f>N45*1%*70%</f>
        <v>34300</v>
      </c>
      <c r="P45" s="50">
        <f t="shared" si="26"/>
        <v>14700</v>
      </c>
      <c r="Q45" s="50">
        <f t="shared" si="27"/>
        <v>49000</v>
      </c>
      <c r="R45" s="50"/>
      <c r="S45" s="51">
        <v>1</v>
      </c>
    </row>
    <row r="46" spans="1:19" s="51" customFormat="1" ht="15" customHeight="1" x14ac:dyDescent="0.25">
      <c r="A46" s="46"/>
      <c r="B46" s="47" t="s">
        <v>314</v>
      </c>
      <c r="C46" s="49"/>
      <c r="D46" s="49"/>
      <c r="E46" s="49"/>
      <c r="F46" s="49"/>
      <c r="G46" s="49"/>
      <c r="H46" s="49"/>
      <c r="I46" s="49"/>
      <c r="J46" s="48"/>
      <c r="K46" s="49"/>
      <c r="L46" s="48"/>
      <c r="M46" s="48"/>
      <c r="N46" s="50">
        <v>4900000</v>
      </c>
      <c r="O46" s="50">
        <f t="shared" si="25"/>
        <v>34300</v>
      </c>
      <c r="P46" s="50">
        <f t="shared" si="26"/>
        <v>14700</v>
      </c>
      <c r="Q46" s="50">
        <f t="shared" si="27"/>
        <v>49000</v>
      </c>
      <c r="R46" s="50"/>
      <c r="S46" s="51">
        <v>1</v>
      </c>
    </row>
    <row r="47" spans="1:19" s="51" customFormat="1" ht="15" customHeight="1" x14ac:dyDescent="0.25">
      <c r="A47" s="46"/>
      <c r="B47" s="47" t="s">
        <v>473</v>
      </c>
      <c r="C47" s="49"/>
      <c r="D47" s="49"/>
      <c r="E47" s="49"/>
      <c r="F47" s="49"/>
      <c r="G47" s="49"/>
      <c r="H47" s="49"/>
      <c r="I47" s="49"/>
      <c r="J47" s="48"/>
      <c r="K47" s="49"/>
      <c r="L47" s="48"/>
      <c r="M47" s="48"/>
      <c r="N47" s="50">
        <v>4600000</v>
      </c>
      <c r="O47" s="50">
        <f t="shared" si="25"/>
        <v>32199.999999999996</v>
      </c>
      <c r="P47" s="50">
        <f t="shared" si="26"/>
        <v>13800</v>
      </c>
      <c r="Q47" s="50">
        <f t="shared" si="27"/>
        <v>46000</v>
      </c>
      <c r="R47" s="50"/>
      <c r="S47" s="51">
        <v>1</v>
      </c>
    </row>
    <row r="48" spans="1:19" s="51" customFormat="1" ht="15" customHeight="1" x14ac:dyDescent="0.25">
      <c r="A48" s="46"/>
      <c r="B48" s="47" t="s">
        <v>474</v>
      </c>
      <c r="C48" s="47"/>
      <c r="D48" s="47"/>
      <c r="E48" s="48"/>
      <c r="F48" s="48"/>
      <c r="G48" s="49"/>
      <c r="H48" s="48"/>
      <c r="I48" s="49"/>
      <c r="J48" s="48"/>
      <c r="K48" s="49"/>
      <c r="L48" s="48"/>
      <c r="M48" s="48"/>
      <c r="N48" s="50">
        <v>4600000</v>
      </c>
      <c r="O48" s="50">
        <f>N48*1%*70%</f>
        <v>32199.999999999996</v>
      </c>
      <c r="P48" s="50">
        <f t="shared" si="26"/>
        <v>13800</v>
      </c>
      <c r="Q48" s="50">
        <f t="shared" si="27"/>
        <v>46000</v>
      </c>
      <c r="R48" s="50"/>
      <c r="S48" s="51">
        <v>1</v>
      </c>
    </row>
    <row r="49" spans="1:21" s="51" customFormat="1" ht="15" customHeight="1" x14ac:dyDescent="0.25">
      <c r="A49" s="46"/>
      <c r="B49" s="47" t="s">
        <v>475</v>
      </c>
      <c r="C49" s="47"/>
      <c r="D49" s="47"/>
      <c r="E49" s="48"/>
      <c r="F49" s="48"/>
      <c r="G49" s="49"/>
      <c r="H49" s="48"/>
      <c r="I49" s="49"/>
      <c r="J49" s="48"/>
      <c r="K49" s="49"/>
      <c r="L49" s="48"/>
      <c r="M49" s="48"/>
      <c r="N49" s="50">
        <v>4900000</v>
      </c>
      <c r="O49" s="50">
        <f>N49*1%*70%</f>
        <v>34300</v>
      </c>
      <c r="P49" s="50">
        <f t="shared" si="26"/>
        <v>14700</v>
      </c>
      <c r="Q49" s="50">
        <f t="shared" si="27"/>
        <v>49000</v>
      </c>
      <c r="R49" s="50"/>
      <c r="S49" s="51">
        <v>1</v>
      </c>
    </row>
    <row r="50" spans="1:21" s="51" customFormat="1" ht="15" customHeight="1" x14ac:dyDescent="0.25">
      <c r="A50" s="46"/>
      <c r="B50" s="47" t="s">
        <v>476</v>
      </c>
      <c r="C50" s="47"/>
      <c r="D50" s="47"/>
      <c r="E50" s="48"/>
      <c r="F50" s="48"/>
      <c r="G50" s="49"/>
      <c r="H50" s="48"/>
      <c r="I50" s="49"/>
      <c r="J50" s="48"/>
      <c r="K50" s="49"/>
      <c r="L50" s="48"/>
      <c r="M50" s="48"/>
      <c r="N50" s="50">
        <v>4000000</v>
      </c>
      <c r="O50" s="50">
        <f>N50*1%*70%</f>
        <v>28000</v>
      </c>
      <c r="P50" s="50">
        <f t="shared" si="26"/>
        <v>12000</v>
      </c>
      <c r="Q50" s="50">
        <f t="shared" si="27"/>
        <v>40000</v>
      </c>
      <c r="R50" s="50"/>
      <c r="S50" s="51">
        <v>1</v>
      </c>
    </row>
    <row r="51" spans="1:21" s="51" customFormat="1" ht="15" customHeight="1" x14ac:dyDescent="0.25">
      <c r="A51" s="46"/>
      <c r="B51" s="47" t="s">
        <v>477</v>
      </c>
      <c r="C51" s="47"/>
      <c r="D51" s="47"/>
      <c r="E51" s="48"/>
      <c r="F51" s="48"/>
      <c r="G51" s="49"/>
      <c r="H51" s="48"/>
      <c r="I51" s="49"/>
      <c r="J51" s="48"/>
      <c r="K51" s="49"/>
      <c r="L51" s="48"/>
      <c r="M51" s="48"/>
      <c r="N51" s="50">
        <v>4300000</v>
      </c>
      <c r="O51" s="50">
        <f>N51*1%*70%</f>
        <v>30099.999999999996</v>
      </c>
      <c r="P51" s="50">
        <f t="shared" si="26"/>
        <v>12900</v>
      </c>
      <c r="Q51" s="50">
        <f t="shared" si="27"/>
        <v>43000</v>
      </c>
      <c r="R51" s="50"/>
      <c r="S51" s="51">
        <v>1</v>
      </c>
    </row>
    <row r="52" spans="1:21" s="57" customFormat="1" ht="15" customHeight="1" x14ac:dyDescent="0.25">
      <c r="A52" s="52"/>
      <c r="B52" s="258" t="s">
        <v>49</v>
      </c>
      <c r="C52" s="259"/>
      <c r="D52" s="53"/>
      <c r="E52" s="54" t="e">
        <f t="shared" ref="E52:Q52" si="28">E7+E11+E15+E22+E26+E37+E43</f>
        <v>#N/A</v>
      </c>
      <c r="F52" s="54" t="e">
        <f t="shared" si="28"/>
        <v>#N/A</v>
      </c>
      <c r="G52" s="55" t="e">
        <f t="shared" si="28"/>
        <v>#N/A</v>
      </c>
      <c r="H52" s="54">
        <f t="shared" si="28"/>
        <v>0</v>
      </c>
      <c r="I52" s="55" t="e">
        <f t="shared" si="28"/>
        <v>#N/A</v>
      </c>
      <c r="J52" s="54">
        <f t="shared" si="28"/>
        <v>0</v>
      </c>
      <c r="K52" s="55">
        <f t="shared" si="28"/>
        <v>0</v>
      </c>
      <c r="L52" s="54">
        <f t="shared" si="28"/>
        <v>0</v>
      </c>
      <c r="M52" s="54">
        <f t="shared" si="28"/>
        <v>0</v>
      </c>
      <c r="N52" s="56" t="e">
        <f t="shared" si="28"/>
        <v>#N/A</v>
      </c>
      <c r="O52" s="56" t="e">
        <f t="shared" si="28"/>
        <v>#N/A</v>
      </c>
      <c r="P52" s="56" t="e">
        <f t="shared" si="28"/>
        <v>#N/A</v>
      </c>
      <c r="Q52" s="56" t="e">
        <f t="shared" si="28"/>
        <v>#N/A</v>
      </c>
      <c r="R52" s="50"/>
      <c r="U52" s="101"/>
    </row>
    <row r="53" spans="1:21" s="25" customFormat="1" ht="48" customHeight="1" x14ac:dyDescent="0.25">
      <c r="A53" s="43"/>
      <c r="B53" s="260" t="str">
        <f>lb_4</f>
        <v>Ghi chú: BHXH, BHYT, BHTN = (Hệ số lương + Chức vụ + Vượt khung + Thâm niên nghề) x1.390.000 x Hệ số BHXH, BHYT, BHTN</v>
      </c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0"/>
      <c r="N53" s="260"/>
      <c r="O53" s="260"/>
      <c r="P53" s="260"/>
      <c r="Q53" s="260"/>
      <c r="R53" s="260"/>
    </row>
    <row r="54" spans="1:21" s="2" customFormat="1" x14ac:dyDescent="0.25">
      <c r="E54" s="63">
        <f>E8</f>
        <v>6.1</v>
      </c>
      <c r="F54" s="63">
        <f>F8</f>
        <v>0.9</v>
      </c>
      <c r="G54" s="64">
        <f>G8</f>
        <v>0</v>
      </c>
      <c r="N54" s="256" t="str">
        <f>ngay</f>
        <v>Tây Ninh, ngày 01 tháng 7 năm 2019</v>
      </c>
      <c r="O54" s="256"/>
      <c r="P54" s="256"/>
      <c r="Q54" s="256"/>
      <c r="R54" s="256"/>
    </row>
    <row r="55" spans="1:21" s="15" customFormat="1" ht="33.75" customHeight="1" x14ac:dyDescent="0.25">
      <c r="A55" s="20"/>
      <c r="B55" s="251" t="s">
        <v>72</v>
      </c>
      <c r="C55" s="251"/>
      <c r="D55" s="251" t="s">
        <v>73</v>
      </c>
      <c r="E55" s="251"/>
      <c r="F55" s="251"/>
      <c r="G55" s="251"/>
      <c r="H55" s="251"/>
      <c r="I55" s="251"/>
      <c r="J55" s="251"/>
      <c r="K55" s="251"/>
      <c r="L55" s="251"/>
      <c r="N55" s="252" t="s">
        <v>71</v>
      </c>
      <c r="O55" s="252"/>
      <c r="P55" s="252"/>
      <c r="Q55" s="252"/>
      <c r="R55" s="252"/>
    </row>
    <row r="56" spans="1:21" x14ac:dyDescent="0.25">
      <c r="N56" s="4"/>
      <c r="O56" s="4"/>
      <c r="P56" s="4"/>
      <c r="Q56" s="4"/>
    </row>
    <row r="57" spans="1:21" x14ac:dyDescent="0.25">
      <c r="N57" s="4"/>
      <c r="O57" s="4"/>
      <c r="P57" s="4"/>
      <c r="Q57" s="4"/>
    </row>
    <row r="58" spans="1:21" x14ac:dyDescent="0.25">
      <c r="N58" s="4"/>
      <c r="O58" s="4"/>
      <c r="P58" s="4"/>
      <c r="Q58" s="4"/>
    </row>
    <row r="59" spans="1:21" x14ac:dyDescent="0.25">
      <c r="N59" s="4"/>
      <c r="O59" s="4"/>
      <c r="P59" s="4"/>
      <c r="Q59" s="4"/>
    </row>
    <row r="60" spans="1:21" x14ac:dyDescent="0.25">
      <c r="N60" s="4"/>
      <c r="O60" s="4"/>
      <c r="P60" s="4"/>
      <c r="Q60" s="4"/>
    </row>
    <row r="62" spans="1:21" x14ac:dyDescent="0.25">
      <c r="A62" s="27"/>
      <c r="B62" s="261" t="str">
        <f>lb_1</f>
        <v>Nguyễn Thị Thu Lan</v>
      </c>
      <c r="C62" s="261"/>
      <c r="D62" s="261" t="str">
        <f>lb_2</f>
        <v>Nguyễn Văn Cường</v>
      </c>
      <c r="E62" s="261"/>
      <c r="F62" s="261"/>
      <c r="G62" s="261"/>
      <c r="H62" s="261"/>
      <c r="I62" s="261"/>
      <c r="J62" s="261"/>
      <c r="K62" s="261"/>
      <c r="L62" s="261"/>
      <c r="M62" s="28"/>
      <c r="N62" s="257">
        <f>lb_3</f>
        <v>0</v>
      </c>
      <c r="O62" s="257"/>
      <c r="P62" s="257"/>
      <c r="Q62" s="257"/>
      <c r="R62" s="257"/>
    </row>
  </sheetData>
  <mergeCells count="38">
    <mergeCell ref="I5:I6"/>
    <mergeCell ref="B37:D37"/>
    <mergeCell ref="O5:Q5"/>
    <mergeCell ref="D55:L55"/>
    <mergeCell ref="N55:R55"/>
    <mergeCell ref="R5:R6"/>
    <mergeCell ref="G5:G6"/>
    <mergeCell ref="H5:H6"/>
    <mergeCell ref="N5:N6"/>
    <mergeCell ref="M5:M6"/>
    <mergeCell ref="L5:L6"/>
    <mergeCell ref="K5:K6"/>
    <mergeCell ref="J5:J6"/>
    <mergeCell ref="F5:F6"/>
    <mergeCell ref="B15:D15"/>
    <mergeCell ref="B22:D22"/>
    <mergeCell ref="N62:R62"/>
    <mergeCell ref="B43:D43"/>
    <mergeCell ref="B52:C52"/>
    <mergeCell ref="B53:R53"/>
    <mergeCell ref="N54:R54"/>
    <mergeCell ref="B55:C55"/>
    <mergeCell ref="B62:C62"/>
    <mergeCell ref="D62:L62"/>
    <mergeCell ref="B26:D26"/>
    <mergeCell ref="A5:A6"/>
    <mergeCell ref="B5:B6"/>
    <mergeCell ref="C5:C6"/>
    <mergeCell ref="E5:E6"/>
    <mergeCell ref="D5:D6"/>
    <mergeCell ref="B7:D7"/>
    <mergeCell ref="B11:D11"/>
    <mergeCell ref="H1:Q1"/>
    <mergeCell ref="A2:F2"/>
    <mergeCell ref="H2:Q2"/>
    <mergeCell ref="A3:R3"/>
    <mergeCell ref="A4:R4"/>
    <mergeCell ref="A1:F1"/>
  </mergeCells>
  <phoneticPr fontId="3" type="noConversion"/>
  <pageMargins left="0.2" right="0.2" top="0.56999999999999995" bottom="0.69" header="0.35" footer="0.3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1920</vt:i4>
      </vt:variant>
    </vt:vector>
  </HeadingPairs>
  <TitlesOfParts>
    <vt:vector size="1952" baseType="lpstr">
      <vt:lpstr>nhanvien</vt:lpstr>
      <vt:lpstr>Luong_BC</vt:lpstr>
      <vt:lpstr>Luong HĐ 68</vt:lpstr>
      <vt:lpstr>Luong_DH</vt:lpstr>
      <vt:lpstr>Khoanviec</vt:lpstr>
      <vt:lpstr>Luong VV</vt:lpstr>
      <vt:lpstr>Tro cap 116</vt:lpstr>
      <vt:lpstr>Dang phi (2)</vt:lpstr>
      <vt:lpstr>Dang phi</vt:lpstr>
      <vt:lpstr>TH_LUONG</vt:lpstr>
      <vt:lpstr>foxz</vt:lpstr>
      <vt:lpstr>Nhân sự</vt:lpstr>
      <vt:lpstr>CK_BH</vt:lpstr>
      <vt:lpstr>KP_CD</vt:lpstr>
      <vt:lpstr>MẪU C13-TT LUONG</vt:lpstr>
      <vt:lpstr>BANG KÊ</vt:lpstr>
      <vt:lpstr>donvi</vt:lpstr>
      <vt:lpstr>heso</vt:lpstr>
      <vt:lpstr>bacluong</vt:lpstr>
      <vt:lpstr>chucvu</vt:lpstr>
      <vt:lpstr>vuotkhung</vt:lpstr>
      <vt:lpstr>khuvuc</vt:lpstr>
      <vt:lpstr>thamniennghe</vt:lpstr>
      <vt:lpstr>dochai</vt:lpstr>
      <vt:lpstr>uudainghe</vt:lpstr>
      <vt:lpstr>trachnhiem</vt:lpstr>
      <vt:lpstr>phukienhopdong</vt:lpstr>
      <vt:lpstr>kiemnhiem</vt:lpstr>
      <vt:lpstr>PC116-70</vt:lpstr>
      <vt:lpstr>PC116-50-70-100</vt:lpstr>
      <vt:lpstr>Thamso</vt:lpstr>
      <vt:lpstr>Sheet1</vt:lpstr>
      <vt:lpstr>_ma116</vt:lpstr>
      <vt:lpstr>_ma1670</vt:lpstr>
      <vt:lpstr>_pc11670</vt:lpstr>
      <vt:lpstr>bacluong</vt:lpstr>
      <vt:lpstr>bhtn</vt:lpstr>
      <vt:lpstr>bhtn_1</vt:lpstr>
      <vt:lpstr>bhtn_2</vt:lpstr>
      <vt:lpstr>bhxh</vt:lpstr>
      <vt:lpstr>bhxh_1</vt:lpstr>
      <vt:lpstr>bhxh_2</vt:lpstr>
      <vt:lpstr>bhxh_3</vt:lpstr>
      <vt:lpstr>bhyt</vt:lpstr>
      <vt:lpstr>bhyt_1</vt:lpstr>
      <vt:lpstr>bhyt_2</vt:lpstr>
      <vt:lpstr>chucvu</vt:lpstr>
      <vt:lpstr>'MẪU C13-TT LUONG'!DD0130040_1000</vt:lpstr>
      <vt:lpstr>'MẪU C13-TT LUONG'!DD0130040_1001</vt:lpstr>
      <vt:lpstr>'MẪU C13-TT LUONG'!DD0130040_1002</vt:lpstr>
      <vt:lpstr>'MẪU C13-TT LUONG'!DD0130040_1003</vt:lpstr>
      <vt:lpstr>'MẪU C13-TT LUONG'!DD0130040_1004</vt:lpstr>
      <vt:lpstr>'MẪU C13-TT LUONG'!DD0130040_1005</vt:lpstr>
      <vt:lpstr>'MẪU C13-TT LUONG'!DD0130040_1006</vt:lpstr>
      <vt:lpstr>'MẪU C13-TT LUONG'!DD0130040_1007</vt:lpstr>
      <vt:lpstr>'MẪU C13-TT LUONG'!DD0130040_1008</vt:lpstr>
      <vt:lpstr>'MẪU C13-TT LUONG'!DD0130040_1009</vt:lpstr>
      <vt:lpstr>'MẪU C13-TT LUONG'!DD0130040_1010</vt:lpstr>
      <vt:lpstr>'MẪU C13-TT LUONG'!DD0130040_1011</vt:lpstr>
      <vt:lpstr>'MẪU C13-TT LUONG'!DD0130040_1012</vt:lpstr>
      <vt:lpstr>'MẪU C13-TT LUONG'!DD0130040_1013</vt:lpstr>
      <vt:lpstr>'MẪU C13-TT LUONG'!DD0130040_1014</vt:lpstr>
      <vt:lpstr>'MẪU C13-TT LUONG'!DD0130040_1015</vt:lpstr>
      <vt:lpstr>'MẪU C13-TT LUONG'!DD0130040_1016</vt:lpstr>
      <vt:lpstr>'MẪU C13-TT LUONG'!DD0130040_1017</vt:lpstr>
      <vt:lpstr>'MẪU C13-TT LUONG'!DD0130040_1018</vt:lpstr>
      <vt:lpstr>'MẪU C13-TT LUONG'!DD0130040_1019</vt:lpstr>
      <vt:lpstr>'MẪU C13-TT LUONG'!DD0130040_1020</vt:lpstr>
      <vt:lpstr>'MẪU C13-TT LUONG'!DD0130040_1021</vt:lpstr>
      <vt:lpstr>'MẪU C13-TT LUONG'!DD0130040_1022</vt:lpstr>
      <vt:lpstr>'MẪU C13-TT LUONG'!DD0130040_1023</vt:lpstr>
      <vt:lpstr>'MẪU C13-TT LUONG'!DD0130040_1024</vt:lpstr>
      <vt:lpstr>'MẪU C13-TT LUONG'!DD0130040_1025</vt:lpstr>
      <vt:lpstr>'MẪU C13-TT LUONG'!DD0130040_1026</vt:lpstr>
      <vt:lpstr>'MẪU C13-TT LUONG'!DD0130040_1027</vt:lpstr>
      <vt:lpstr>'MẪU C13-TT LUONG'!DD0130040_1028</vt:lpstr>
      <vt:lpstr>'MẪU C13-TT LUONG'!DD0130040_1029</vt:lpstr>
      <vt:lpstr>'MẪU C13-TT LUONG'!DD0130040_1030</vt:lpstr>
      <vt:lpstr>'MẪU C13-TT LUONG'!DD0130040_1031</vt:lpstr>
      <vt:lpstr>'MẪU C13-TT LUONG'!DD0130040_1032</vt:lpstr>
      <vt:lpstr>'MẪU C13-TT LUONG'!DD0130040_1033</vt:lpstr>
      <vt:lpstr>'MẪU C13-TT LUONG'!DD0130040_1034</vt:lpstr>
      <vt:lpstr>'MẪU C13-TT LUONG'!DD0130040_1035</vt:lpstr>
      <vt:lpstr>'MẪU C13-TT LUONG'!DD0130040_1036</vt:lpstr>
      <vt:lpstr>'MẪU C13-TT LUONG'!DD0130040_1037</vt:lpstr>
      <vt:lpstr>'MẪU C13-TT LUONG'!DD0130040_1038</vt:lpstr>
      <vt:lpstr>'MẪU C13-TT LUONG'!DD0130040_1039</vt:lpstr>
      <vt:lpstr>'MẪU C13-TT LUONG'!DD0130040_1040</vt:lpstr>
      <vt:lpstr>'MẪU C13-TT LUONG'!DD0130040_1041</vt:lpstr>
      <vt:lpstr>'MẪU C13-TT LUONG'!DD0130040_1042</vt:lpstr>
      <vt:lpstr>'MẪU C13-TT LUONG'!DD0130040_1043</vt:lpstr>
      <vt:lpstr>'MẪU C13-TT LUONG'!DD0130040_1044</vt:lpstr>
      <vt:lpstr>'MẪU C13-TT LUONG'!DD0130040_1045</vt:lpstr>
      <vt:lpstr>'MẪU C13-TT LUONG'!DD0130040_1046</vt:lpstr>
      <vt:lpstr>'MẪU C13-TT LUONG'!DD0130040_1047</vt:lpstr>
      <vt:lpstr>'MẪU C13-TT LUONG'!DD0130040_1048</vt:lpstr>
      <vt:lpstr>'MẪU C13-TT LUONG'!DD0130040_1049</vt:lpstr>
      <vt:lpstr>'MẪU C13-TT LUONG'!DD0130040_1050</vt:lpstr>
      <vt:lpstr>'MẪU C13-TT LUONG'!DD0130040_1051</vt:lpstr>
      <vt:lpstr>'MẪU C13-TT LUONG'!DD0130040_1052</vt:lpstr>
      <vt:lpstr>'MẪU C13-TT LUONG'!DD0130040_1053</vt:lpstr>
      <vt:lpstr>'MẪU C13-TT LUONG'!DD0130040_1054</vt:lpstr>
      <vt:lpstr>'MẪU C13-TT LUONG'!DD0130040_1055</vt:lpstr>
      <vt:lpstr>'MẪU C13-TT LUONG'!DD0130040_1056</vt:lpstr>
      <vt:lpstr>'MẪU C13-TT LUONG'!DD0130040_1057</vt:lpstr>
      <vt:lpstr>'MẪU C13-TT LUONG'!DD0130040_1058</vt:lpstr>
      <vt:lpstr>'MẪU C13-TT LUONG'!DD0130040_1059</vt:lpstr>
      <vt:lpstr>'MẪU C13-TT LUONG'!DD0130040_1060</vt:lpstr>
      <vt:lpstr>'MẪU C13-TT LUONG'!DD0130040_1061</vt:lpstr>
      <vt:lpstr>'MẪU C13-TT LUONG'!DD0130040_1062</vt:lpstr>
      <vt:lpstr>'MẪU C13-TT LUONG'!DD0130040_1063</vt:lpstr>
      <vt:lpstr>'MẪU C13-TT LUONG'!DD0130040_1064</vt:lpstr>
      <vt:lpstr>'MẪU C13-TT LUONG'!DD0130040_1065</vt:lpstr>
      <vt:lpstr>'MẪU C13-TT LUONG'!DD0130040_1066</vt:lpstr>
      <vt:lpstr>'MẪU C13-TT LUONG'!DD0130040_1067</vt:lpstr>
      <vt:lpstr>'MẪU C13-TT LUONG'!DD0130040_1068</vt:lpstr>
      <vt:lpstr>'MẪU C13-TT LUONG'!DD0130040_1069</vt:lpstr>
      <vt:lpstr>'MẪU C13-TT LUONG'!DD0130040_1070</vt:lpstr>
      <vt:lpstr>'MẪU C13-TT LUONG'!DD0130040_1071</vt:lpstr>
      <vt:lpstr>'MẪU C13-TT LUONG'!DD0130040_1072</vt:lpstr>
      <vt:lpstr>'MẪU C13-TT LUONG'!DD0130040_1073</vt:lpstr>
      <vt:lpstr>'MẪU C13-TT LUONG'!DD0130040_1074</vt:lpstr>
      <vt:lpstr>'MẪU C13-TT LUONG'!DD0130040_1075</vt:lpstr>
      <vt:lpstr>'MẪU C13-TT LUONG'!DD0130040_1076</vt:lpstr>
      <vt:lpstr>'MẪU C13-TT LUONG'!DD0130040_1077</vt:lpstr>
      <vt:lpstr>'MẪU C13-TT LUONG'!DD0130040_1078</vt:lpstr>
      <vt:lpstr>'MẪU C13-TT LUONG'!DD0130040_1079</vt:lpstr>
      <vt:lpstr>'MẪU C13-TT LUONG'!DD0130040_1080</vt:lpstr>
      <vt:lpstr>'MẪU C13-TT LUONG'!DD0130040_1081</vt:lpstr>
      <vt:lpstr>'MẪU C13-TT LUONG'!DD0130040_1082</vt:lpstr>
      <vt:lpstr>'MẪU C13-TT LUONG'!DD0130040_1083</vt:lpstr>
      <vt:lpstr>'MẪU C13-TT LUONG'!DD0130040_1084</vt:lpstr>
      <vt:lpstr>'MẪU C13-TT LUONG'!DD0130040_1085</vt:lpstr>
      <vt:lpstr>'MẪU C13-TT LUONG'!DD0130040_1086</vt:lpstr>
      <vt:lpstr>'MẪU C13-TT LUONG'!DD0130040_1087</vt:lpstr>
      <vt:lpstr>'MẪU C13-TT LUONG'!DD0130040_1088</vt:lpstr>
      <vt:lpstr>'MẪU C13-TT LUONG'!DD0130040_1089</vt:lpstr>
      <vt:lpstr>'MẪU C13-TT LUONG'!DD0130040_1090</vt:lpstr>
      <vt:lpstr>'MẪU C13-TT LUONG'!DD0130040_1091</vt:lpstr>
      <vt:lpstr>'MẪU C13-TT LUONG'!DD0130040_1092</vt:lpstr>
      <vt:lpstr>'MẪU C13-TT LUONG'!DD0130040_1093</vt:lpstr>
      <vt:lpstr>'MẪU C13-TT LUONG'!DD0130040_1094</vt:lpstr>
      <vt:lpstr>'MẪU C13-TT LUONG'!DD0130040_1095</vt:lpstr>
      <vt:lpstr>'MẪU C13-TT LUONG'!DD0130040_1096</vt:lpstr>
      <vt:lpstr>'MẪU C13-TT LUONG'!DD0130040_1097</vt:lpstr>
      <vt:lpstr>'MẪU C13-TT LUONG'!DD0130040_1098</vt:lpstr>
      <vt:lpstr>'MẪU C13-TT LUONG'!DD0130040_1099</vt:lpstr>
      <vt:lpstr>'MẪU C13-TT LUONG'!DD0130040_1100</vt:lpstr>
      <vt:lpstr>'MẪU C13-TT LUONG'!DD0130040_1101</vt:lpstr>
      <vt:lpstr>'MẪU C13-TT LUONG'!DD0130040_1102</vt:lpstr>
      <vt:lpstr>'MẪU C13-TT LUONG'!DD0130040_1103</vt:lpstr>
      <vt:lpstr>'MẪU C13-TT LUONG'!DD0130040_1104</vt:lpstr>
      <vt:lpstr>'MẪU C13-TT LUONG'!DD0130040_1105</vt:lpstr>
      <vt:lpstr>'MẪU C13-TT LUONG'!DD0130040_1106</vt:lpstr>
      <vt:lpstr>'MẪU C13-TT LUONG'!DD0130040_1107</vt:lpstr>
      <vt:lpstr>'MẪU C13-TT LUONG'!DD0130040_1108</vt:lpstr>
      <vt:lpstr>'MẪU C13-TT LUONG'!DD0130040_1109</vt:lpstr>
      <vt:lpstr>'MẪU C13-TT LUONG'!DD0130040_1110</vt:lpstr>
      <vt:lpstr>'MẪU C13-TT LUONG'!DD0130040_1111</vt:lpstr>
      <vt:lpstr>'MẪU C13-TT LUONG'!DD0130040_1112</vt:lpstr>
      <vt:lpstr>'MẪU C13-TT LUONG'!DD0130040_1113</vt:lpstr>
      <vt:lpstr>'MẪU C13-TT LUONG'!DD0130040_1114</vt:lpstr>
      <vt:lpstr>'MẪU C13-TT LUONG'!DD0130040_1115</vt:lpstr>
      <vt:lpstr>'MẪU C13-TT LUONG'!DD0130040_1116</vt:lpstr>
      <vt:lpstr>'MẪU C13-TT LUONG'!DD0130040_1117</vt:lpstr>
      <vt:lpstr>'MẪU C13-TT LUONG'!DD0130040_1118</vt:lpstr>
      <vt:lpstr>'MẪU C13-TT LUONG'!DD0130040_1119</vt:lpstr>
      <vt:lpstr>'MẪU C13-TT LUONG'!DD0130040_1120</vt:lpstr>
      <vt:lpstr>'MẪU C13-TT LUONG'!DD0130040_1121</vt:lpstr>
      <vt:lpstr>'MẪU C13-TT LUONG'!DD0130040_1122</vt:lpstr>
      <vt:lpstr>'MẪU C13-TT LUONG'!DD0130040_1123</vt:lpstr>
      <vt:lpstr>'MẪU C13-TT LUONG'!DD0130040_1124</vt:lpstr>
      <vt:lpstr>'MẪU C13-TT LUONG'!DD0130040_1125</vt:lpstr>
      <vt:lpstr>'MẪU C13-TT LUONG'!DD0130040_1126</vt:lpstr>
      <vt:lpstr>'MẪU C13-TT LUONG'!DD0130040_1127</vt:lpstr>
      <vt:lpstr>'MẪU C13-TT LUONG'!DD0130040_1128</vt:lpstr>
      <vt:lpstr>'MẪU C13-TT LUONG'!DD0130040_1129</vt:lpstr>
      <vt:lpstr>'MẪU C13-TT LUONG'!DD0130040_1130</vt:lpstr>
      <vt:lpstr>'MẪU C13-TT LUONG'!DD0130040_1131</vt:lpstr>
      <vt:lpstr>'MẪU C13-TT LUONG'!DD0130040_1132</vt:lpstr>
      <vt:lpstr>'MẪU C13-TT LUONG'!DD0130040_1133</vt:lpstr>
      <vt:lpstr>'MẪU C13-TT LUONG'!DD0130040_1134</vt:lpstr>
      <vt:lpstr>'MẪU C13-TT LUONG'!DD0130040_1135</vt:lpstr>
      <vt:lpstr>'MẪU C13-TT LUONG'!DD0130040_1136</vt:lpstr>
      <vt:lpstr>'MẪU C13-TT LUONG'!DD0130040_1137</vt:lpstr>
      <vt:lpstr>'MẪU C13-TT LUONG'!DD0130040_1138</vt:lpstr>
      <vt:lpstr>'MẪU C13-TT LUONG'!DD0130040_1139</vt:lpstr>
      <vt:lpstr>'MẪU C13-TT LUONG'!DD0130040_1140</vt:lpstr>
      <vt:lpstr>'MẪU C13-TT LUONG'!DD0130040_1141</vt:lpstr>
      <vt:lpstr>'MẪU C13-TT LUONG'!DD0130040_1142</vt:lpstr>
      <vt:lpstr>'MẪU C13-TT LUONG'!DD0130040_1143</vt:lpstr>
      <vt:lpstr>'MẪU C13-TT LUONG'!DD0130040_1144</vt:lpstr>
      <vt:lpstr>'MẪU C13-TT LUONG'!DD0130040_1145</vt:lpstr>
      <vt:lpstr>'MẪU C13-TT LUONG'!DD0130040_1146</vt:lpstr>
      <vt:lpstr>'MẪU C13-TT LUONG'!DD0130040_1147</vt:lpstr>
      <vt:lpstr>'MẪU C13-TT LUONG'!DD0130040_1148</vt:lpstr>
      <vt:lpstr>'MẪU C13-TT LUONG'!DD0130040_1149</vt:lpstr>
      <vt:lpstr>'MẪU C13-TT LUONG'!DD0130040_1150</vt:lpstr>
      <vt:lpstr>'MẪU C13-TT LUONG'!DD0130040_1151</vt:lpstr>
      <vt:lpstr>'MẪU C13-TT LUONG'!DD0130040_1152</vt:lpstr>
      <vt:lpstr>'MẪU C13-TT LUONG'!DD0130040_1153</vt:lpstr>
      <vt:lpstr>'MẪU C13-TT LUONG'!DD0130040_1154</vt:lpstr>
      <vt:lpstr>'MẪU C13-TT LUONG'!DD0130040_1155</vt:lpstr>
      <vt:lpstr>'MẪU C13-TT LUONG'!DD0130040_1156</vt:lpstr>
      <vt:lpstr>'MẪU C13-TT LUONG'!DD0130040_1157</vt:lpstr>
      <vt:lpstr>'MẪU C13-TT LUONG'!DD0130040_1158</vt:lpstr>
      <vt:lpstr>'MẪU C13-TT LUONG'!DD0130040_1159</vt:lpstr>
      <vt:lpstr>'MẪU C13-TT LUONG'!DD0130040_1160</vt:lpstr>
      <vt:lpstr>'MẪU C13-TT LUONG'!DD0130040_1161</vt:lpstr>
      <vt:lpstr>'MẪU C13-TT LUONG'!DD0130040_1162</vt:lpstr>
      <vt:lpstr>'MẪU C13-TT LUONG'!DD0130040_1163</vt:lpstr>
      <vt:lpstr>'MẪU C13-TT LUONG'!DD0130040_1164</vt:lpstr>
      <vt:lpstr>'MẪU C13-TT LUONG'!DD0130040_1165</vt:lpstr>
      <vt:lpstr>'MẪU C13-TT LUONG'!DD0130040_1166</vt:lpstr>
      <vt:lpstr>'MẪU C13-TT LUONG'!DD0130040_1167</vt:lpstr>
      <vt:lpstr>'MẪU C13-TT LUONG'!DD0130040_1168</vt:lpstr>
      <vt:lpstr>'MẪU C13-TT LUONG'!DD0130040_1169</vt:lpstr>
      <vt:lpstr>'MẪU C13-TT LUONG'!DD0130040_1170</vt:lpstr>
      <vt:lpstr>'MẪU C13-TT LUONG'!DD0130040_1171</vt:lpstr>
      <vt:lpstr>'MẪU C13-TT LUONG'!DD0130040_1172</vt:lpstr>
      <vt:lpstr>'MẪU C13-TT LUONG'!DD0130040_1173</vt:lpstr>
      <vt:lpstr>'MẪU C13-TT LUONG'!DD0130040_1174</vt:lpstr>
      <vt:lpstr>'MẪU C13-TT LUONG'!DD0130040_1175</vt:lpstr>
      <vt:lpstr>'MẪU C13-TT LUONG'!DD0130040_1176</vt:lpstr>
      <vt:lpstr>'MẪU C13-TT LUONG'!DD0130040_1177</vt:lpstr>
      <vt:lpstr>'MẪU C13-TT LUONG'!DD0130040_1178</vt:lpstr>
      <vt:lpstr>'MẪU C13-TT LUONG'!DD0130040_1179</vt:lpstr>
      <vt:lpstr>'MẪU C13-TT LUONG'!DD0130040_1180</vt:lpstr>
      <vt:lpstr>'MẪU C13-TT LUONG'!DD0130040_1181</vt:lpstr>
      <vt:lpstr>'MẪU C13-TT LUONG'!DD0130040_1182</vt:lpstr>
      <vt:lpstr>'MẪU C13-TT LUONG'!DD0130040_1183</vt:lpstr>
      <vt:lpstr>'MẪU C13-TT LUONG'!DD0130040_1184</vt:lpstr>
      <vt:lpstr>'MẪU C13-TT LUONG'!DD0130040_1185</vt:lpstr>
      <vt:lpstr>'MẪU C13-TT LUONG'!DD0130040_1186</vt:lpstr>
      <vt:lpstr>'MẪU C13-TT LUONG'!DD0130040_1187</vt:lpstr>
      <vt:lpstr>'MẪU C13-TT LUONG'!DD0130040_1188</vt:lpstr>
      <vt:lpstr>'MẪU C13-TT LUONG'!DD0130040_1189</vt:lpstr>
      <vt:lpstr>'MẪU C13-TT LUONG'!DD0130040_1190</vt:lpstr>
      <vt:lpstr>'MẪU C13-TT LUONG'!DD0130040_1191</vt:lpstr>
      <vt:lpstr>'MẪU C13-TT LUONG'!DD0130040_1192</vt:lpstr>
      <vt:lpstr>'MẪU C13-TT LUONG'!DD0130040_1193</vt:lpstr>
      <vt:lpstr>'MẪU C13-TT LUONG'!DD0130040_1194</vt:lpstr>
      <vt:lpstr>'MẪU C13-TT LUONG'!DD0130040_1195</vt:lpstr>
      <vt:lpstr>'MẪU C13-TT LUONG'!DD0130040_1196</vt:lpstr>
      <vt:lpstr>'MẪU C13-TT LUONG'!DD0130040_1197</vt:lpstr>
      <vt:lpstr>'MẪU C13-TT LUONG'!DD0130040_1198</vt:lpstr>
      <vt:lpstr>'MẪU C13-TT LUONG'!DD0130040_1199</vt:lpstr>
      <vt:lpstr>'MẪU C13-TT LUONG'!DD0130040_1200</vt:lpstr>
      <vt:lpstr>'MẪU C13-TT LUONG'!DD0130040_1201</vt:lpstr>
      <vt:lpstr>'MẪU C13-TT LUONG'!DD0130040_1202</vt:lpstr>
      <vt:lpstr>'MẪU C13-TT LUONG'!DD0130040_1203</vt:lpstr>
      <vt:lpstr>'MẪU C13-TT LUONG'!DD0130040_1204</vt:lpstr>
      <vt:lpstr>'MẪU C13-TT LUONG'!DD0130040_1205</vt:lpstr>
      <vt:lpstr>'MẪU C13-TT LUONG'!DD0130040_1206</vt:lpstr>
      <vt:lpstr>'MẪU C13-TT LUONG'!DD0130040_1207</vt:lpstr>
      <vt:lpstr>'MẪU C13-TT LUONG'!DD0130040_1208</vt:lpstr>
      <vt:lpstr>'MẪU C13-TT LUONG'!DD0130040_1209</vt:lpstr>
      <vt:lpstr>'MẪU C13-TT LUONG'!DD0130040_1210</vt:lpstr>
      <vt:lpstr>'MẪU C13-TT LUONG'!DD0130040_1211</vt:lpstr>
      <vt:lpstr>'MẪU C13-TT LUONG'!DD0130040_1212</vt:lpstr>
      <vt:lpstr>'MẪU C13-TT LUONG'!DD0130040_1213</vt:lpstr>
      <vt:lpstr>'MẪU C13-TT LUONG'!DD0130040_1214</vt:lpstr>
      <vt:lpstr>'MẪU C13-TT LUONG'!DD0130040_1215</vt:lpstr>
      <vt:lpstr>'MẪU C13-TT LUONG'!DD0130040_1216</vt:lpstr>
      <vt:lpstr>'MẪU C13-TT LUONG'!DD0130040_1217</vt:lpstr>
      <vt:lpstr>'MẪU C13-TT LUONG'!DD0130040_1218</vt:lpstr>
      <vt:lpstr>'MẪU C13-TT LUONG'!DD0130040_1219</vt:lpstr>
      <vt:lpstr>'MẪU C13-TT LUONG'!DD0130040_1220</vt:lpstr>
      <vt:lpstr>'MẪU C13-TT LUONG'!DD0130040_1221</vt:lpstr>
      <vt:lpstr>'MẪU C13-TT LUONG'!DD0130040_1222</vt:lpstr>
      <vt:lpstr>'MẪU C13-TT LUONG'!DD0130040_1223</vt:lpstr>
      <vt:lpstr>'MẪU C13-TT LUONG'!DD0130040_1224</vt:lpstr>
      <vt:lpstr>'MẪU C13-TT LUONG'!DD0130040_1225</vt:lpstr>
      <vt:lpstr>'MẪU C13-TT LUONG'!DD0130040_1226</vt:lpstr>
      <vt:lpstr>'MẪU C13-TT LUONG'!DD0130040_1227</vt:lpstr>
      <vt:lpstr>'MẪU C13-TT LUONG'!DD0130040_1228</vt:lpstr>
      <vt:lpstr>'MẪU C13-TT LUONG'!DD0130040_1229</vt:lpstr>
      <vt:lpstr>'MẪU C13-TT LUONG'!DD0130040_1230</vt:lpstr>
      <vt:lpstr>'MẪU C13-TT LUONG'!DD0130040_1231</vt:lpstr>
      <vt:lpstr>'MẪU C13-TT LUONG'!DD0130040_1232</vt:lpstr>
      <vt:lpstr>'MẪU C13-TT LUONG'!DD0130040_1233</vt:lpstr>
      <vt:lpstr>'MẪU C13-TT LUONG'!DD0130040_1234</vt:lpstr>
      <vt:lpstr>'MẪU C13-TT LUONG'!DD0130040_1235</vt:lpstr>
      <vt:lpstr>'MẪU C13-TT LUONG'!DD0130040_1236</vt:lpstr>
      <vt:lpstr>'MẪU C13-TT LUONG'!DD0130040_1237</vt:lpstr>
      <vt:lpstr>'MẪU C13-TT LUONG'!DD0130040_1238</vt:lpstr>
      <vt:lpstr>'MẪU C13-TT LUONG'!DD0130040_1239</vt:lpstr>
      <vt:lpstr>'MẪU C13-TT LUONG'!DD0130040_1240</vt:lpstr>
      <vt:lpstr>'MẪU C13-TT LUONG'!DD0130040_1241</vt:lpstr>
      <vt:lpstr>'MẪU C13-TT LUONG'!DD0130040_1242</vt:lpstr>
      <vt:lpstr>'MẪU C13-TT LUONG'!DD0130040_1243</vt:lpstr>
      <vt:lpstr>'MẪU C13-TT LUONG'!DD0130040_1244</vt:lpstr>
      <vt:lpstr>'MẪU C13-TT LUONG'!DD0130040_1245</vt:lpstr>
      <vt:lpstr>'MẪU C13-TT LUONG'!DD0130040_1246</vt:lpstr>
      <vt:lpstr>'MẪU C13-TT LUONG'!DD0130040_1247</vt:lpstr>
      <vt:lpstr>'MẪU C13-TT LUONG'!DD0130040_1248</vt:lpstr>
      <vt:lpstr>'MẪU C13-TT LUONG'!DD0130040_1249</vt:lpstr>
      <vt:lpstr>'MẪU C13-TT LUONG'!DD0130040_1250</vt:lpstr>
      <vt:lpstr>'MẪU C13-TT LUONG'!DD0130040_1251</vt:lpstr>
      <vt:lpstr>'MẪU C13-TT LUONG'!DD0130040_1252</vt:lpstr>
      <vt:lpstr>'MẪU C13-TT LUONG'!DD0130040_1253</vt:lpstr>
      <vt:lpstr>'MẪU C13-TT LUONG'!DD0130040_1254</vt:lpstr>
      <vt:lpstr>'MẪU C13-TT LUONG'!DD0130040_1255</vt:lpstr>
      <vt:lpstr>'MẪU C13-TT LUONG'!DD0130040_1256</vt:lpstr>
      <vt:lpstr>'MẪU C13-TT LUONG'!DD0130040_1257</vt:lpstr>
      <vt:lpstr>'MẪU C13-TT LUONG'!DD0130040_1258</vt:lpstr>
      <vt:lpstr>'MẪU C13-TT LUONG'!DD0130040_1259</vt:lpstr>
      <vt:lpstr>'MẪU C13-TT LUONG'!DD0130040_1260</vt:lpstr>
      <vt:lpstr>'MẪU C13-TT LUONG'!DD0130040_1261</vt:lpstr>
      <vt:lpstr>'MẪU C13-TT LUONG'!DD0130040_1262</vt:lpstr>
      <vt:lpstr>'MẪU C13-TT LUONG'!DD0130040_1263</vt:lpstr>
      <vt:lpstr>'MẪU C13-TT LUONG'!DD0130040_1264</vt:lpstr>
      <vt:lpstr>'MẪU C13-TT LUONG'!DD0130040_1265</vt:lpstr>
      <vt:lpstr>'MẪU C13-TT LUONG'!DD0130040_1266</vt:lpstr>
      <vt:lpstr>'MẪU C13-TT LUONG'!DD0130040_1267</vt:lpstr>
      <vt:lpstr>'MẪU C13-TT LUONG'!DD0130040_1268</vt:lpstr>
      <vt:lpstr>'MẪU C13-TT LUONG'!DD0130040_1269</vt:lpstr>
      <vt:lpstr>'MẪU C13-TT LUONG'!DD0130040_1270</vt:lpstr>
      <vt:lpstr>'MẪU C13-TT LUONG'!DD0130040_1271</vt:lpstr>
      <vt:lpstr>'MẪU C13-TT LUONG'!DD0130040_1272</vt:lpstr>
      <vt:lpstr>'MẪU C13-TT LUONG'!DD0130040_1273</vt:lpstr>
      <vt:lpstr>'MẪU C13-TT LUONG'!DD0130040_1274</vt:lpstr>
      <vt:lpstr>'MẪU C13-TT LUONG'!DD0130040_1275</vt:lpstr>
      <vt:lpstr>'MẪU C13-TT LUONG'!DD0130040_1276</vt:lpstr>
      <vt:lpstr>'MẪU C13-TT LUONG'!DD0130040_1277</vt:lpstr>
      <vt:lpstr>'MẪU C13-TT LUONG'!DD0130040_1278</vt:lpstr>
      <vt:lpstr>'MẪU C13-TT LUONG'!DD0130040_1279</vt:lpstr>
      <vt:lpstr>'MẪU C13-TT LUONG'!DD0130040_1280</vt:lpstr>
      <vt:lpstr>'MẪU C13-TT LUONG'!DD0130040_1281</vt:lpstr>
      <vt:lpstr>'MẪU C13-TT LUONG'!DD0130040_1282</vt:lpstr>
      <vt:lpstr>'MẪU C13-TT LUONG'!DD0130040_1283</vt:lpstr>
      <vt:lpstr>'MẪU C13-TT LUONG'!DD0130040_1284</vt:lpstr>
      <vt:lpstr>'MẪU C13-TT LUONG'!DD0130040_1285</vt:lpstr>
      <vt:lpstr>'MẪU C13-TT LUONG'!DD0130040_1286</vt:lpstr>
      <vt:lpstr>'MẪU C13-TT LUONG'!DD0130040_1287</vt:lpstr>
      <vt:lpstr>'MẪU C13-TT LUONG'!DD0130040_1288</vt:lpstr>
      <vt:lpstr>'MẪU C13-TT LUONG'!DD0130040_1289</vt:lpstr>
      <vt:lpstr>'MẪU C13-TT LUONG'!DD0130040_1290</vt:lpstr>
      <vt:lpstr>'MẪU C13-TT LUONG'!DD0130040_1291</vt:lpstr>
      <vt:lpstr>'MẪU C13-TT LUONG'!DD0130040_1292</vt:lpstr>
      <vt:lpstr>'MẪU C13-TT LUONG'!DD0130040_1293</vt:lpstr>
      <vt:lpstr>'MẪU C13-TT LUONG'!DD0130040_1294</vt:lpstr>
      <vt:lpstr>'MẪU C13-TT LUONG'!DD0130040_1295</vt:lpstr>
      <vt:lpstr>'MẪU C13-TT LUONG'!DD0130040_1296</vt:lpstr>
      <vt:lpstr>'MẪU C13-TT LUONG'!DD0130040_1297</vt:lpstr>
      <vt:lpstr>'MẪU C13-TT LUONG'!DD0130040_1298</vt:lpstr>
      <vt:lpstr>'MẪU C13-TT LUONG'!DD0130040_1299</vt:lpstr>
      <vt:lpstr>'MẪU C13-TT LUONG'!DD0130040_1300</vt:lpstr>
      <vt:lpstr>'MẪU C13-TT LUONG'!DD0130040_1301</vt:lpstr>
      <vt:lpstr>'MẪU C13-TT LUONG'!DD0130040_1302</vt:lpstr>
      <vt:lpstr>'MẪU C13-TT LUONG'!DD0130040_1303</vt:lpstr>
      <vt:lpstr>'MẪU C13-TT LUONG'!DD0130040_1304</vt:lpstr>
      <vt:lpstr>'MẪU C13-TT LUONG'!DD0130040_1305</vt:lpstr>
      <vt:lpstr>'MẪU C13-TT LUONG'!DD0130040_1306</vt:lpstr>
      <vt:lpstr>'MẪU C13-TT LUONG'!DD0130040_1307</vt:lpstr>
      <vt:lpstr>'MẪU C13-TT LUONG'!DD0130040_1308</vt:lpstr>
      <vt:lpstr>'MẪU C13-TT LUONG'!DD0130040_1309</vt:lpstr>
      <vt:lpstr>'MẪU C13-TT LUONG'!DD0130040_1310</vt:lpstr>
      <vt:lpstr>'MẪU C13-TT LUONG'!DD0130040_1311</vt:lpstr>
      <vt:lpstr>'MẪU C13-TT LUONG'!DD0130040_1312</vt:lpstr>
      <vt:lpstr>'MẪU C13-TT LUONG'!DD0130040_1313</vt:lpstr>
      <vt:lpstr>'MẪU C13-TT LUONG'!DD0130040_1314</vt:lpstr>
      <vt:lpstr>'MẪU C13-TT LUONG'!DD0130040_1315</vt:lpstr>
      <vt:lpstr>'MẪU C13-TT LUONG'!DD0130040_1316</vt:lpstr>
      <vt:lpstr>'MẪU C13-TT LUONG'!DD0130040_1317</vt:lpstr>
      <vt:lpstr>'MẪU C13-TT LUONG'!DD0130040_1318</vt:lpstr>
      <vt:lpstr>'MẪU C13-TT LUONG'!DD0130040_1319</vt:lpstr>
      <vt:lpstr>'MẪU C13-TT LUONG'!DD0130040_1320</vt:lpstr>
      <vt:lpstr>'MẪU C13-TT LUONG'!DD0130040_1321</vt:lpstr>
      <vt:lpstr>'MẪU C13-TT LUONG'!DD0130040_1322</vt:lpstr>
      <vt:lpstr>'MẪU C13-TT LUONG'!DD0130040_1323</vt:lpstr>
      <vt:lpstr>'MẪU C13-TT LUONG'!DD0130040_1324</vt:lpstr>
      <vt:lpstr>'MẪU C13-TT LUONG'!DD0130040_1325</vt:lpstr>
      <vt:lpstr>'MẪU C13-TT LUONG'!DD0130040_1326</vt:lpstr>
      <vt:lpstr>'MẪU C13-TT LUONG'!DD0130040_1327</vt:lpstr>
      <vt:lpstr>'MẪU C13-TT LUONG'!DD0130040_1328</vt:lpstr>
      <vt:lpstr>'MẪU C13-TT LUONG'!DD0130040_1329</vt:lpstr>
      <vt:lpstr>'MẪU C13-TT LUONG'!DD0130040_1330</vt:lpstr>
      <vt:lpstr>'MẪU C13-TT LUONG'!DD0130040_1331</vt:lpstr>
      <vt:lpstr>'MẪU C13-TT LUONG'!DD0130040_1332</vt:lpstr>
      <vt:lpstr>'MẪU C13-TT LUONG'!DD0130040_1333</vt:lpstr>
      <vt:lpstr>'MẪU C13-TT LUONG'!DD0130040_1334</vt:lpstr>
      <vt:lpstr>'MẪU C13-TT LUONG'!DD0130040_1335</vt:lpstr>
      <vt:lpstr>'MẪU C13-TT LUONG'!DD0130040_1336</vt:lpstr>
      <vt:lpstr>'MẪU C13-TT LUONG'!DD0130040_1337</vt:lpstr>
      <vt:lpstr>'MẪU C13-TT LUONG'!DD0130040_1338</vt:lpstr>
      <vt:lpstr>'MẪU C13-TT LUONG'!DD0130040_1339</vt:lpstr>
      <vt:lpstr>'MẪU C13-TT LUONG'!DD0130040_1340</vt:lpstr>
      <vt:lpstr>'MẪU C13-TT LUONG'!DD0130040_1341</vt:lpstr>
      <vt:lpstr>'MẪU C13-TT LUONG'!DD0130040_1342</vt:lpstr>
      <vt:lpstr>'MẪU C13-TT LUONG'!DD0130040_1343</vt:lpstr>
      <vt:lpstr>'MẪU C13-TT LUONG'!DD0130040_1344</vt:lpstr>
      <vt:lpstr>'MẪU C13-TT LUONG'!DD0130040_1345</vt:lpstr>
      <vt:lpstr>'MẪU C13-TT LUONG'!DD0130040_1346</vt:lpstr>
      <vt:lpstr>'MẪU C13-TT LUONG'!DD0130040_1347</vt:lpstr>
      <vt:lpstr>'MẪU C13-TT LUONG'!DD0130040_1348</vt:lpstr>
      <vt:lpstr>'MẪU C13-TT LUONG'!DD0130040_1349</vt:lpstr>
      <vt:lpstr>'MẪU C13-TT LUONG'!DD0130040_1350</vt:lpstr>
      <vt:lpstr>'MẪU C13-TT LUONG'!DD0130040_1351</vt:lpstr>
      <vt:lpstr>'MẪU C13-TT LUONG'!DD0130040_1352</vt:lpstr>
      <vt:lpstr>'MẪU C13-TT LUONG'!DD0130040_1353</vt:lpstr>
      <vt:lpstr>'MẪU C13-TT LUONG'!DD0130040_1354</vt:lpstr>
      <vt:lpstr>'MẪU C13-TT LUONG'!DD0130040_1355</vt:lpstr>
      <vt:lpstr>'MẪU C13-TT LUONG'!DD0130040_1356</vt:lpstr>
      <vt:lpstr>'MẪU C13-TT LUONG'!DD0130040_1357</vt:lpstr>
      <vt:lpstr>'MẪU C13-TT LUONG'!DD0130040_1358</vt:lpstr>
      <vt:lpstr>'MẪU C13-TT LUONG'!DD0130040_1359</vt:lpstr>
      <vt:lpstr>'MẪU C13-TT LUONG'!DD0130040_1360</vt:lpstr>
      <vt:lpstr>'MẪU C13-TT LUONG'!DD0130040_1361</vt:lpstr>
      <vt:lpstr>'MẪU C13-TT LUONG'!DD0130040_1362</vt:lpstr>
      <vt:lpstr>'MẪU C13-TT LUONG'!DD0130040_1363</vt:lpstr>
      <vt:lpstr>'MẪU C13-TT LUONG'!DD0130040_1364</vt:lpstr>
      <vt:lpstr>'MẪU C13-TT LUONG'!DD0130040_1365</vt:lpstr>
      <vt:lpstr>'MẪU C13-TT LUONG'!DD0130040_1366</vt:lpstr>
      <vt:lpstr>'MẪU C13-TT LUONG'!DD0130040_1367</vt:lpstr>
      <vt:lpstr>'MẪU C13-TT LUONG'!DD0130040_1368</vt:lpstr>
      <vt:lpstr>'MẪU C13-TT LUONG'!DD0130040_1369</vt:lpstr>
      <vt:lpstr>'MẪU C13-TT LUONG'!DD0130040_1370</vt:lpstr>
      <vt:lpstr>'MẪU C13-TT LUONG'!DD0130040_1371</vt:lpstr>
      <vt:lpstr>'MẪU C13-TT LUONG'!DD0130040_1372</vt:lpstr>
      <vt:lpstr>'MẪU C13-TT LUONG'!DD0130040_1373</vt:lpstr>
      <vt:lpstr>'MẪU C13-TT LUONG'!DD0130040_1374</vt:lpstr>
      <vt:lpstr>'MẪU C13-TT LUONG'!DD0130040_1375</vt:lpstr>
      <vt:lpstr>'MẪU C13-TT LUONG'!DD0130040_1376</vt:lpstr>
      <vt:lpstr>'MẪU C13-TT LUONG'!DD0130040_1377</vt:lpstr>
      <vt:lpstr>'MẪU C13-TT LUONG'!DD0130040_1378</vt:lpstr>
      <vt:lpstr>'MẪU C13-TT LUONG'!DD0130040_1379</vt:lpstr>
      <vt:lpstr>'MẪU C13-TT LUONG'!DD0130040_1380</vt:lpstr>
      <vt:lpstr>'MẪU C13-TT LUONG'!DD0130040_1381</vt:lpstr>
      <vt:lpstr>'MẪU C13-TT LUONG'!DD0130040_1382</vt:lpstr>
      <vt:lpstr>'MẪU C13-TT LUONG'!DD0130040_1383</vt:lpstr>
      <vt:lpstr>'MẪU C13-TT LUONG'!DD0130040_1384</vt:lpstr>
      <vt:lpstr>'MẪU C13-TT LUONG'!DD0130040_1385</vt:lpstr>
      <vt:lpstr>'MẪU C13-TT LUONG'!DD0130040_1386</vt:lpstr>
      <vt:lpstr>'MẪU C13-TT LUONG'!DD0130040_1387</vt:lpstr>
      <vt:lpstr>'MẪU C13-TT LUONG'!DD0130040_1388</vt:lpstr>
      <vt:lpstr>'MẪU C13-TT LUONG'!DD0130040_1389</vt:lpstr>
      <vt:lpstr>'MẪU C13-TT LUONG'!DD0130040_1390</vt:lpstr>
      <vt:lpstr>'MẪU C13-TT LUONG'!DD0130040_1391</vt:lpstr>
      <vt:lpstr>'MẪU C13-TT LUONG'!DD0130040_1392</vt:lpstr>
      <vt:lpstr>'MẪU C13-TT LUONG'!DD0130040_1393</vt:lpstr>
      <vt:lpstr>'MẪU C13-TT LUONG'!DD0130040_1394</vt:lpstr>
      <vt:lpstr>'MẪU C13-TT LUONG'!DD0130040_1395</vt:lpstr>
      <vt:lpstr>'MẪU C13-TT LUONG'!DD0130040_1396</vt:lpstr>
      <vt:lpstr>'MẪU C13-TT LUONG'!DD0130040_1397</vt:lpstr>
      <vt:lpstr>'MẪU C13-TT LUONG'!DD0130040_1398</vt:lpstr>
      <vt:lpstr>'MẪU C13-TT LUONG'!DD0130040_1399</vt:lpstr>
      <vt:lpstr>'MẪU C13-TT LUONG'!DD0130040_1400</vt:lpstr>
      <vt:lpstr>'MẪU C13-TT LUONG'!DD0130040_1401</vt:lpstr>
      <vt:lpstr>'MẪU C13-TT LUONG'!DD0130040_1402</vt:lpstr>
      <vt:lpstr>'MẪU C13-TT LUONG'!DD0130040_1403</vt:lpstr>
      <vt:lpstr>'MẪU C13-TT LUONG'!DD0130040_1404</vt:lpstr>
      <vt:lpstr>'MẪU C13-TT LUONG'!DD0130040_1405</vt:lpstr>
      <vt:lpstr>'MẪU C13-TT LUONG'!DD0130040_1406</vt:lpstr>
      <vt:lpstr>'MẪU C13-TT LUONG'!DD0130040_1407</vt:lpstr>
      <vt:lpstr>'MẪU C13-TT LUONG'!DD0130040_1408</vt:lpstr>
      <vt:lpstr>'MẪU C13-TT LUONG'!DD0130040_1409</vt:lpstr>
      <vt:lpstr>'MẪU C13-TT LUONG'!DD0130040_1410</vt:lpstr>
      <vt:lpstr>'MẪU C13-TT LUONG'!DD0130040_1411</vt:lpstr>
      <vt:lpstr>'MẪU C13-TT LUONG'!DD0130040_1412</vt:lpstr>
      <vt:lpstr>'MẪU C13-TT LUONG'!DD0130040_1413</vt:lpstr>
      <vt:lpstr>'MẪU C13-TT LUONG'!DD0130040_1414</vt:lpstr>
      <vt:lpstr>'MẪU C13-TT LUONG'!DD0130040_1415</vt:lpstr>
      <vt:lpstr>'MẪU C13-TT LUONG'!DD0130040_1416</vt:lpstr>
      <vt:lpstr>'MẪU C13-TT LUONG'!DD0130040_1417</vt:lpstr>
      <vt:lpstr>'MẪU C13-TT LUONG'!DD0130040_1418</vt:lpstr>
      <vt:lpstr>'MẪU C13-TT LUONG'!DD0130040_1419</vt:lpstr>
      <vt:lpstr>'MẪU C13-TT LUONG'!DD0130040_1420</vt:lpstr>
      <vt:lpstr>'MẪU C13-TT LUONG'!DD0130040_1421</vt:lpstr>
      <vt:lpstr>'MẪU C13-TT LUONG'!DD0130040_1422</vt:lpstr>
      <vt:lpstr>'MẪU C13-TT LUONG'!DD0130040_1423</vt:lpstr>
      <vt:lpstr>'MẪU C13-TT LUONG'!DD0130040_1424</vt:lpstr>
      <vt:lpstr>'MẪU C13-TT LUONG'!DD0130040_1425</vt:lpstr>
      <vt:lpstr>'MẪU C13-TT LUONG'!DD0130040_1426</vt:lpstr>
      <vt:lpstr>'MẪU C13-TT LUONG'!DD0130040_1427</vt:lpstr>
      <vt:lpstr>'MẪU C13-TT LUONG'!DD0130040_1428</vt:lpstr>
      <vt:lpstr>'MẪU C13-TT LUONG'!DD0130040_1429</vt:lpstr>
      <vt:lpstr>'MẪU C13-TT LUONG'!DD0130040_1430</vt:lpstr>
      <vt:lpstr>'MẪU C13-TT LUONG'!DD0130040_1431</vt:lpstr>
      <vt:lpstr>'MẪU C13-TT LUONG'!DD0130040_1432</vt:lpstr>
      <vt:lpstr>'MẪU C13-TT LUONG'!DD0130040_1433</vt:lpstr>
      <vt:lpstr>'MẪU C13-TT LUONG'!DD0130040_1434</vt:lpstr>
      <vt:lpstr>'MẪU C13-TT LUONG'!DD0130040_1435</vt:lpstr>
      <vt:lpstr>'MẪU C13-TT LUONG'!DD0130040_1436</vt:lpstr>
      <vt:lpstr>'MẪU C13-TT LUONG'!DD0130040_1437</vt:lpstr>
      <vt:lpstr>'MẪU C13-TT LUONG'!DD0130040_1438</vt:lpstr>
      <vt:lpstr>'MẪU C13-TT LUONG'!DD0130040_1439</vt:lpstr>
      <vt:lpstr>'MẪU C13-TT LUONG'!DD0130040_1440</vt:lpstr>
      <vt:lpstr>'MẪU C13-TT LUONG'!DD0130040_1441</vt:lpstr>
      <vt:lpstr>'MẪU C13-TT LUONG'!DD0130040_1442</vt:lpstr>
      <vt:lpstr>'MẪU C13-TT LUONG'!DD0130040_1443</vt:lpstr>
      <vt:lpstr>'MẪU C13-TT LUONG'!DD0130040_1444</vt:lpstr>
      <vt:lpstr>'MẪU C13-TT LUONG'!DD0130040_1445</vt:lpstr>
      <vt:lpstr>'MẪU C13-TT LUONG'!DD0130040_1446</vt:lpstr>
      <vt:lpstr>'MẪU C13-TT LUONG'!DD0130040_1447</vt:lpstr>
      <vt:lpstr>'MẪU C13-TT LUONG'!DD0130040_1448</vt:lpstr>
      <vt:lpstr>'MẪU C13-TT LUONG'!DD0130040_1449</vt:lpstr>
      <vt:lpstr>'MẪU C13-TT LUONG'!DD0130040_1450</vt:lpstr>
      <vt:lpstr>'MẪU C13-TT LUONG'!DD0130040_1451</vt:lpstr>
      <vt:lpstr>'MẪU C13-TT LUONG'!DD0130040_1452</vt:lpstr>
      <vt:lpstr>'MẪU C13-TT LUONG'!DD0130040_1453</vt:lpstr>
      <vt:lpstr>'MẪU C13-TT LUONG'!DD0130040_1454</vt:lpstr>
      <vt:lpstr>'MẪU C13-TT LUONG'!DD0130040_1455</vt:lpstr>
      <vt:lpstr>'MẪU C13-TT LUONG'!DD0130040_1456</vt:lpstr>
      <vt:lpstr>'MẪU C13-TT LUONG'!DD0130040_1457</vt:lpstr>
      <vt:lpstr>'MẪU C13-TT LUONG'!DD0130040_1458</vt:lpstr>
      <vt:lpstr>'MẪU C13-TT LUONG'!DD0130040_1459</vt:lpstr>
      <vt:lpstr>'MẪU C13-TT LUONG'!DD0130040_1460</vt:lpstr>
      <vt:lpstr>'MẪU C13-TT LUONG'!DD0130040_1461</vt:lpstr>
      <vt:lpstr>'MẪU C13-TT LUONG'!DD0130040_1462</vt:lpstr>
      <vt:lpstr>'MẪU C13-TT LUONG'!DD0130040_1463</vt:lpstr>
      <vt:lpstr>'MẪU C13-TT LUONG'!DD0130040_1464</vt:lpstr>
      <vt:lpstr>'MẪU C13-TT LUONG'!DD0130040_1465</vt:lpstr>
      <vt:lpstr>'MẪU C13-TT LUONG'!DD0130040_1466</vt:lpstr>
      <vt:lpstr>'MẪU C13-TT LUONG'!DD0130040_1467</vt:lpstr>
      <vt:lpstr>'MẪU C13-TT LUONG'!DD0130040_1468</vt:lpstr>
      <vt:lpstr>'MẪU C13-TT LUONG'!DD0130040_1469</vt:lpstr>
      <vt:lpstr>'MẪU C13-TT LUONG'!DD0130040_1470</vt:lpstr>
      <vt:lpstr>'MẪU C13-TT LUONG'!DD0130040_1471</vt:lpstr>
      <vt:lpstr>'MẪU C13-TT LUONG'!DD0130040_1472</vt:lpstr>
      <vt:lpstr>'MẪU C13-TT LUONG'!DD0130040_1473</vt:lpstr>
      <vt:lpstr>'MẪU C13-TT LUONG'!DD0130040_1474</vt:lpstr>
      <vt:lpstr>'MẪU C13-TT LUONG'!DD0130040_1475</vt:lpstr>
      <vt:lpstr>'MẪU C13-TT LUONG'!DD0130040_1476</vt:lpstr>
      <vt:lpstr>'MẪU C13-TT LUONG'!DD0130040_1477</vt:lpstr>
      <vt:lpstr>'MẪU C13-TT LUONG'!DD0130040_1478</vt:lpstr>
      <vt:lpstr>'MẪU C13-TT LUONG'!DD0130040_1479</vt:lpstr>
      <vt:lpstr>'MẪU C13-TT LUONG'!DD0130040_1480</vt:lpstr>
      <vt:lpstr>'MẪU C13-TT LUONG'!DD0130040_1481</vt:lpstr>
      <vt:lpstr>'MẪU C13-TT LUONG'!DD0130040_1482</vt:lpstr>
      <vt:lpstr>'MẪU C13-TT LUONG'!DD0130040_1483</vt:lpstr>
      <vt:lpstr>'MẪU C13-TT LUONG'!DD0130040_1484</vt:lpstr>
      <vt:lpstr>'MẪU C13-TT LUONG'!DD0130040_1485</vt:lpstr>
      <vt:lpstr>'MẪU C13-TT LUONG'!DD0130040_1486</vt:lpstr>
      <vt:lpstr>'MẪU C13-TT LUONG'!DD0130040_1487</vt:lpstr>
      <vt:lpstr>'MẪU C13-TT LUONG'!DD0130040_1488</vt:lpstr>
      <vt:lpstr>'MẪU C13-TT LUONG'!DD0130040_1489</vt:lpstr>
      <vt:lpstr>'MẪU C13-TT LUONG'!DD0130040_1490</vt:lpstr>
      <vt:lpstr>'MẪU C13-TT LUONG'!DD0130040_1491</vt:lpstr>
      <vt:lpstr>'MẪU C13-TT LUONG'!DD0130040_1492</vt:lpstr>
      <vt:lpstr>'MẪU C13-TT LUONG'!DD0130040_1493</vt:lpstr>
      <vt:lpstr>'MẪU C13-TT LUONG'!DD0130040_1494</vt:lpstr>
      <vt:lpstr>'MẪU C13-TT LUONG'!DD0130040_1495</vt:lpstr>
      <vt:lpstr>'MẪU C13-TT LUONG'!DD0130040_1496</vt:lpstr>
      <vt:lpstr>'MẪU C13-TT LUONG'!DD0130040_1497</vt:lpstr>
      <vt:lpstr>'MẪU C13-TT LUONG'!DD0130040_1498</vt:lpstr>
      <vt:lpstr>'MẪU C13-TT LUONG'!DD0130040_1499</vt:lpstr>
      <vt:lpstr>'MẪU C13-TT LUONG'!DD0130040_1500</vt:lpstr>
      <vt:lpstr>'MẪU C13-TT LUONG'!DD0130040_1501</vt:lpstr>
      <vt:lpstr>'MẪU C13-TT LUONG'!DD0130040_1502</vt:lpstr>
      <vt:lpstr>'MẪU C13-TT LUONG'!DD0130040_1503</vt:lpstr>
      <vt:lpstr>'MẪU C13-TT LUONG'!DD0130040_1504</vt:lpstr>
      <vt:lpstr>'MẪU C13-TT LUONG'!DD0130040_1505</vt:lpstr>
      <vt:lpstr>'MẪU C13-TT LUONG'!DD0130040_1506</vt:lpstr>
      <vt:lpstr>'MẪU C13-TT LUONG'!DD0130040_1507</vt:lpstr>
      <vt:lpstr>'MẪU C13-TT LUONG'!DD0130040_1508</vt:lpstr>
      <vt:lpstr>'MẪU C13-TT LUONG'!DD0130040_1509</vt:lpstr>
      <vt:lpstr>'MẪU C13-TT LUONG'!DD0130040_1510</vt:lpstr>
      <vt:lpstr>'MẪU C13-TT LUONG'!DD0130040_1511</vt:lpstr>
      <vt:lpstr>'MẪU C13-TT LUONG'!DD0130040_1512</vt:lpstr>
      <vt:lpstr>'MẪU C13-TT LUONG'!DD0130040_1513</vt:lpstr>
      <vt:lpstr>'MẪU C13-TT LUONG'!DD0130040_1514</vt:lpstr>
      <vt:lpstr>'MẪU C13-TT LUONG'!DD0130040_1515</vt:lpstr>
      <vt:lpstr>'MẪU C13-TT LUONG'!DD0130040_1516</vt:lpstr>
      <vt:lpstr>'MẪU C13-TT LUONG'!DD0130040_1517</vt:lpstr>
      <vt:lpstr>'MẪU C13-TT LUONG'!DD0130040_1518</vt:lpstr>
      <vt:lpstr>'MẪU C13-TT LUONG'!DD0130040_1519</vt:lpstr>
      <vt:lpstr>'MẪU C13-TT LUONG'!DD0130040_1520</vt:lpstr>
      <vt:lpstr>'MẪU C13-TT LUONG'!DD0130040_1521</vt:lpstr>
      <vt:lpstr>'MẪU C13-TT LUONG'!DD0130040_1522</vt:lpstr>
      <vt:lpstr>'MẪU C13-TT LUONG'!DD0130040_1523</vt:lpstr>
      <vt:lpstr>'MẪU C13-TT LUONG'!DD0130040_1524</vt:lpstr>
      <vt:lpstr>'MẪU C13-TT LUONG'!DD0130040_1525</vt:lpstr>
      <vt:lpstr>'MẪU C13-TT LUONG'!DD0130040_1526</vt:lpstr>
      <vt:lpstr>'MẪU C13-TT LUONG'!DD0130040_1527</vt:lpstr>
      <vt:lpstr>'MẪU C13-TT LUONG'!DD0130040_1528</vt:lpstr>
      <vt:lpstr>'MẪU C13-TT LUONG'!DD0130040_1529</vt:lpstr>
      <vt:lpstr>'MẪU C13-TT LUONG'!DD0130040_1530</vt:lpstr>
      <vt:lpstr>'MẪU C13-TT LUONG'!DD0130040_1531</vt:lpstr>
      <vt:lpstr>'MẪU C13-TT LUONG'!DD0130040_1532</vt:lpstr>
      <vt:lpstr>'MẪU C13-TT LUONG'!DD0130040_1533</vt:lpstr>
      <vt:lpstr>'MẪU C13-TT LUONG'!DD0130040_1534</vt:lpstr>
      <vt:lpstr>'MẪU C13-TT LUONG'!DD0130040_1535</vt:lpstr>
      <vt:lpstr>'MẪU C13-TT LUONG'!DD0130040_1536</vt:lpstr>
      <vt:lpstr>'MẪU C13-TT LUONG'!DD0130040_1537</vt:lpstr>
      <vt:lpstr>'MẪU C13-TT LUONG'!DD0130040_1538</vt:lpstr>
      <vt:lpstr>'MẪU C13-TT LUONG'!DD0130040_1539</vt:lpstr>
      <vt:lpstr>'MẪU C13-TT LUONG'!DD0130040_1540</vt:lpstr>
      <vt:lpstr>'MẪU C13-TT LUONG'!DD0130040_1541</vt:lpstr>
      <vt:lpstr>'MẪU C13-TT LUONG'!DD0130040_1542</vt:lpstr>
      <vt:lpstr>'MẪU C13-TT LUONG'!DD0130040_1543</vt:lpstr>
      <vt:lpstr>'MẪU C13-TT LUONG'!DD0130040_1544</vt:lpstr>
      <vt:lpstr>'MẪU C13-TT LUONG'!DD0130040_1545</vt:lpstr>
      <vt:lpstr>'MẪU C13-TT LUONG'!DD0130040_1546</vt:lpstr>
      <vt:lpstr>'MẪU C13-TT LUONG'!DD0130040_1547</vt:lpstr>
      <vt:lpstr>'MẪU C13-TT LUONG'!DD0130040_1548</vt:lpstr>
      <vt:lpstr>'MẪU C13-TT LUONG'!DD0130040_1549</vt:lpstr>
      <vt:lpstr>'MẪU C13-TT LUONG'!DD0130040_1550</vt:lpstr>
      <vt:lpstr>'MẪU C13-TT LUONG'!DD0130040_1551</vt:lpstr>
      <vt:lpstr>'MẪU C13-TT LUONG'!DD0130040_1552</vt:lpstr>
      <vt:lpstr>'MẪU C13-TT LUONG'!DD0130040_1553</vt:lpstr>
      <vt:lpstr>'MẪU C13-TT LUONG'!DD0130040_1554</vt:lpstr>
      <vt:lpstr>'MẪU C13-TT LUONG'!DD0130040_1555</vt:lpstr>
      <vt:lpstr>'MẪU C13-TT LUONG'!DD0130040_1556</vt:lpstr>
      <vt:lpstr>'MẪU C13-TT LUONG'!DD0130040_1557</vt:lpstr>
      <vt:lpstr>'MẪU C13-TT LUONG'!DD0130040_1558</vt:lpstr>
      <vt:lpstr>'MẪU C13-TT LUONG'!DD0130040_1559</vt:lpstr>
      <vt:lpstr>'MẪU C13-TT LUONG'!DD0130040_1560</vt:lpstr>
      <vt:lpstr>'MẪU C13-TT LUONG'!DD0130040_1561</vt:lpstr>
      <vt:lpstr>'MẪU C13-TT LUONG'!DD0130040_1562</vt:lpstr>
      <vt:lpstr>'MẪU C13-TT LUONG'!DD0130040_1563</vt:lpstr>
      <vt:lpstr>'MẪU C13-TT LUONG'!DD0130040_1564</vt:lpstr>
      <vt:lpstr>'MẪU C13-TT LUONG'!DD0130040_1565</vt:lpstr>
      <vt:lpstr>'MẪU C13-TT LUONG'!DD0130040_1566</vt:lpstr>
      <vt:lpstr>'MẪU C13-TT LUONG'!DD0130040_1567</vt:lpstr>
      <vt:lpstr>'MẪU C13-TT LUONG'!DD0130040_1568</vt:lpstr>
      <vt:lpstr>'MẪU C13-TT LUONG'!DD0130040_1569</vt:lpstr>
      <vt:lpstr>'MẪU C13-TT LUONG'!DD0130040_1570</vt:lpstr>
      <vt:lpstr>'MẪU C13-TT LUONG'!DD0130040_1571</vt:lpstr>
      <vt:lpstr>'MẪU C13-TT LUONG'!DD0130040_1572</vt:lpstr>
      <vt:lpstr>'MẪU C13-TT LUONG'!DD0130040_1573</vt:lpstr>
      <vt:lpstr>'MẪU C13-TT LUONG'!DD0130040_1574</vt:lpstr>
      <vt:lpstr>'MẪU C13-TT LUONG'!DD0130040_1575</vt:lpstr>
      <vt:lpstr>'MẪU C13-TT LUONG'!DD0130040_1576</vt:lpstr>
      <vt:lpstr>'MẪU C13-TT LUONG'!DD0130040_1577</vt:lpstr>
      <vt:lpstr>'MẪU C13-TT LUONG'!DD0130040_1578</vt:lpstr>
      <vt:lpstr>'MẪU C13-TT LUONG'!DD0130040_1579</vt:lpstr>
      <vt:lpstr>'MẪU C13-TT LUONG'!DD0130040_1580</vt:lpstr>
      <vt:lpstr>'MẪU C13-TT LUONG'!DD0130040_1581</vt:lpstr>
      <vt:lpstr>'MẪU C13-TT LUONG'!DD0130040_1582</vt:lpstr>
      <vt:lpstr>'MẪU C13-TT LUONG'!DD0130040_1583</vt:lpstr>
      <vt:lpstr>'MẪU C13-TT LUONG'!DD0130040_1584</vt:lpstr>
      <vt:lpstr>'MẪU C13-TT LUONG'!DD0130040_1585</vt:lpstr>
      <vt:lpstr>'MẪU C13-TT LUONG'!DD0130040_1586</vt:lpstr>
      <vt:lpstr>'MẪU C13-TT LUONG'!DD0130040_1587</vt:lpstr>
      <vt:lpstr>'MẪU C13-TT LUONG'!DD0130040_1588</vt:lpstr>
      <vt:lpstr>'MẪU C13-TT LUONG'!DD0130040_1589</vt:lpstr>
      <vt:lpstr>'MẪU C13-TT LUONG'!DD0130040_1590</vt:lpstr>
      <vt:lpstr>'MẪU C13-TT LUONG'!DD0130040_1591</vt:lpstr>
      <vt:lpstr>'MẪU C13-TT LUONG'!DD0130040_1592</vt:lpstr>
      <vt:lpstr>'MẪU C13-TT LUONG'!DD0130040_1593</vt:lpstr>
      <vt:lpstr>'MẪU C13-TT LUONG'!DD0130040_1594</vt:lpstr>
      <vt:lpstr>'MẪU C13-TT LUONG'!DD0130040_1595</vt:lpstr>
      <vt:lpstr>'MẪU C13-TT LUONG'!DD0130040_1596</vt:lpstr>
      <vt:lpstr>'MẪU C13-TT LUONG'!DD0130040_1597</vt:lpstr>
      <vt:lpstr>'MẪU C13-TT LUONG'!DD0130040_1598</vt:lpstr>
      <vt:lpstr>'MẪU C13-TT LUONG'!DD0130040_1599</vt:lpstr>
      <vt:lpstr>'MẪU C13-TT LUONG'!DD0130040_1600</vt:lpstr>
      <vt:lpstr>'MẪU C13-TT LUONG'!DD0130040_1601</vt:lpstr>
      <vt:lpstr>'MẪU C13-TT LUONG'!DD0130040_1602</vt:lpstr>
      <vt:lpstr>'MẪU C13-TT LUONG'!DD0130040_1603</vt:lpstr>
      <vt:lpstr>'MẪU C13-TT LUONG'!DD0130040_1604</vt:lpstr>
      <vt:lpstr>'MẪU C13-TT LUONG'!DD0130040_1605</vt:lpstr>
      <vt:lpstr>'MẪU C13-TT LUONG'!DD0130040_1606</vt:lpstr>
      <vt:lpstr>'MẪU C13-TT LUONG'!DD0130040_1607</vt:lpstr>
      <vt:lpstr>'MẪU C13-TT LUONG'!DD0130040_1608</vt:lpstr>
      <vt:lpstr>'MẪU C13-TT LUONG'!DD0130040_1609</vt:lpstr>
      <vt:lpstr>'MẪU C13-TT LUONG'!DD0130040_1610</vt:lpstr>
      <vt:lpstr>'MẪU C13-TT LUONG'!DD0130040_1611</vt:lpstr>
      <vt:lpstr>'MẪU C13-TT LUONG'!DD0130040_1612</vt:lpstr>
      <vt:lpstr>'MẪU C13-TT LUONG'!DD0130040_1613</vt:lpstr>
      <vt:lpstr>'MẪU C13-TT LUONG'!DD0130040_1614</vt:lpstr>
      <vt:lpstr>'MẪU C13-TT LUONG'!DD0130040_1615</vt:lpstr>
      <vt:lpstr>'MẪU C13-TT LUONG'!DD0130040_1616</vt:lpstr>
      <vt:lpstr>'MẪU C13-TT LUONG'!DD0130040_1617</vt:lpstr>
      <vt:lpstr>'MẪU C13-TT LUONG'!DD0130040_1618</vt:lpstr>
      <vt:lpstr>'MẪU C13-TT LUONG'!DD0130040_1619</vt:lpstr>
      <vt:lpstr>'MẪU C13-TT LUONG'!DD0130040_1620</vt:lpstr>
      <vt:lpstr>'MẪU C13-TT LUONG'!DD0130040_1621</vt:lpstr>
      <vt:lpstr>'MẪU C13-TT LUONG'!DD0130040_1622</vt:lpstr>
      <vt:lpstr>'MẪU C13-TT LUONG'!DD0130040_1623</vt:lpstr>
      <vt:lpstr>'MẪU C13-TT LUONG'!DD0130040_1624</vt:lpstr>
      <vt:lpstr>'MẪU C13-TT LUONG'!DD0130040_1625</vt:lpstr>
      <vt:lpstr>'MẪU C13-TT LUONG'!DD0130040_1626</vt:lpstr>
      <vt:lpstr>'MẪU C13-TT LUONG'!DD0130040_1627</vt:lpstr>
      <vt:lpstr>'MẪU C13-TT LUONG'!DD0130040_1628</vt:lpstr>
      <vt:lpstr>'MẪU C13-TT LUONG'!DD0130040_1629</vt:lpstr>
      <vt:lpstr>'MẪU C13-TT LUONG'!DD0130040_1630</vt:lpstr>
      <vt:lpstr>'MẪU C13-TT LUONG'!DD0130040_1631</vt:lpstr>
      <vt:lpstr>'MẪU C13-TT LUONG'!DD0130040_1632</vt:lpstr>
      <vt:lpstr>'MẪU C13-TT LUONG'!DD0130040_1633</vt:lpstr>
      <vt:lpstr>'MẪU C13-TT LUONG'!DD0130040_1634</vt:lpstr>
      <vt:lpstr>'MẪU C13-TT LUONG'!DD0130040_1635</vt:lpstr>
      <vt:lpstr>'MẪU C13-TT LUONG'!DD0130040_1636</vt:lpstr>
      <vt:lpstr>'MẪU C13-TT LUONG'!DD0130040_1637</vt:lpstr>
      <vt:lpstr>'MẪU C13-TT LUONG'!DD0130040_1638</vt:lpstr>
      <vt:lpstr>'MẪU C13-TT LUONG'!DD0130040_1639</vt:lpstr>
      <vt:lpstr>'MẪU C13-TT LUONG'!DD0130040_1640</vt:lpstr>
      <vt:lpstr>'MẪU C13-TT LUONG'!DD0130040_1641</vt:lpstr>
      <vt:lpstr>'MẪU C13-TT LUONG'!DD0130040_1642</vt:lpstr>
      <vt:lpstr>'MẪU C13-TT LUONG'!DD0130040_1643</vt:lpstr>
      <vt:lpstr>'MẪU C13-TT LUONG'!DD0130040_1644</vt:lpstr>
      <vt:lpstr>'MẪU C13-TT LUONG'!DD0130040_1645</vt:lpstr>
      <vt:lpstr>'MẪU C13-TT LUONG'!DD0130040_1646</vt:lpstr>
      <vt:lpstr>'MẪU C13-TT LUONG'!DD0130040_1647</vt:lpstr>
      <vt:lpstr>'MẪU C13-TT LUONG'!DD0130040_1648</vt:lpstr>
      <vt:lpstr>'MẪU C13-TT LUONG'!DD0130040_1649</vt:lpstr>
      <vt:lpstr>'MẪU C13-TT LUONG'!DD0130040_1650</vt:lpstr>
      <vt:lpstr>'MẪU C13-TT LUONG'!DD0130040_1651</vt:lpstr>
      <vt:lpstr>'MẪU C13-TT LUONG'!DD0130040_1652</vt:lpstr>
      <vt:lpstr>'MẪU C13-TT LUONG'!DD0130040_1653</vt:lpstr>
      <vt:lpstr>'MẪU C13-TT LUONG'!DD0130040_1654</vt:lpstr>
      <vt:lpstr>'MẪU C13-TT LUONG'!DD0130040_1655</vt:lpstr>
      <vt:lpstr>'MẪU C13-TT LUONG'!DD0130040_1656</vt:lpstr>
      <vt:lpstr>'MẪU C13-TT LUONG'!DD0130040_1657</vt:lpstr>
      <vt:lpstr>'MẪU C13-TT LUONG'!DD0130040_1658</vt:lpstr>
      <vt:lpstr>'MẪU C13-TT LUONG'!DD0130040_1659</vt:lpstr>
      <vt:lpstr>'MẪU C13-TT LUONG'!DD0130040_1660</vt:lpstr>
      <vt:lpstr>'MẪU C13-TT LUONG'!DD0130040_1661</vt:lpstr>
      <vt:lpstr>'MẪU C13-TT LUONG'!DD0130040_1662</vt:lpstr>
      <vt:lpstr>'MẪU C13-TT LUONG'!DD0130040_1663</vt:lpstr>
      <vt:lpstr>'MẪU C13-TT LUONG'!DD0130040_1664</vt:lpstr>
      <vt:lpstr>'MẪU C13-TT LUONG'!DD0130040_1665</vt:lpstr>
      <vt:lpstr>'MẪU C13-TT LUONG'!DD0130040_1666</vt:lpstr>
      <vt:lpstr>'MẪU C13-TT LUONG'!DD0130040_1667</vt:lpstr>
      <vt:lpstr>'MẪU C13-TT LUONG'!DD0130040_1668</vt:lpstr>
      <vt:lpstr>'MẪU C13-TT LUONG'!DD0130040_1669</vt:lpstr>
      <vt:lpstr>'MẪU C13-TT LUONG'!DD0130040_1670</vt:lpstr>
      <vt:lpstr>'MẪU C13-TT LUONG'!DD0130040_1671</vt:lpstr>
      <vt:lpstr>'MẪU C13-TT LUONG'!DD0130040_1672</vt:lpstr>
      <vt:lpstr>'MẪU C13-TT LUONG'!DD0130040_1673</vt:lpstr>
      <vt:lpstr>'MẪU C13-TT LUONG'!DD0130040_1674</vt:lpstr>
      <vt:lpstr>'MẪU C13-TT LUONG'!DD0130040_1675</vt:lpstr>
      <vt:lpstr>'MẪU C13-TT LUONG'!DD0130040_1676</vt:lpstr>
      <vt:lpstr>'MẪU C13-TT LUONG'!DD0130040_1677</vt:lpstr>
      <vt:lpstr>'MẪU C13-TT LUONG'!DD0130040_1678</vt:lpstr>
      <vt:lpstr>'MẪU C13-TT LUONG'!DD0130040_1679</vt:lpstr>
      <vt:lpstr>'MẪU C13-TT LUONG'!DD0130040_1680</vt:lpstr>
      <vt:lpstr>'MẪU C13-TT LUONG'!DD0130040_1681</vt:lpstr>
      <vt:lpstr>'MẪU C13-TT LUONG'!DD0130040_1682</vt:lpstr>
      <vt:lpstr>'MẪU C13-TT LUONG'!DD0130040_1683</vt:lpstr>
      <vt:lpstr>'MẪU C13-TT LUONG'!DD0130040_1684</vt:lpstr>
      <vt:lpstr>'MẪU C13-TT LUONG'!DD0130040_1685</vt:lpstr>
      <vt:lpstr>'MẪU C13-TT LUONG'!DD0130040_1686</vt:lpstr>
      <vt:lpstr>'MẪU C13-TT LUONG'!DD0130040_1687</vt:lpstr>
      <vt:lpstr>'MẪU C13-TT LUONG'!DD0130040_1688</vt:lpstr>
      <vt:lpstr>'MẪU C13-TT LUONG'!DD0130040_1689</vt:lpstr>
      <vt:lpstr>'MẪU C13-TT LUONG'!DD0130040_1690</vt:lpstr>
      <vt:lpstr>'MẪU C13-TT LUONG'!DD0130040_1691</vt:lpstr>
      <vt:lpstr>'MẪU C13-TT LUONG'!DD0130040_1692</vt:lpstr>
      <vt:lpstr>'MẪU C13-TT LUONG'!DD0130040_1693</vt:lpstr>
      <vt:lpstr>'MẪU C13-TT LUONG'!DD0130040_1694</vt:lpstr>
      <vt:lpstr>'MẪU C13-TT LUONG'!DD0130040_1695</vt:lpstr>
      <vt:lpstr>'MẪU C13-TT LUONG'!DD0130040_1696</vt:lpstr>
      <vt:lpstr>'MẪU C13-TT LUONG'!DD0130040_1697</vt:lpstr>
      <vt:lpstr>'MẪU C13-TT LUONG'!DD0130040_1698</vt:lpstr>
      <vt:lpstr>'MẪU C13-TT LUONG'!DD0130040_1699</vt:lpstr>
      <vt:lpstr>'MẪU C13-TT LUONG'!DD0130040_1700</vt:lpstr>
      <vt:lpstr>'MẪU C13-TT LUONG'!DD0130040_1701</vt:lpstr>
      <vt:lpstr>'MẪU C13-TT LUONG'!DD0130040_1702</vt:lpstr>
      <vt:lpstr>'MẪU C13-TT LUONG'!DD0130040_1703</vt:lpstr>
      <vt:lpstr>'MẪU C13-TT LUONG'!DD0130040_1704</vt:lpstr>
      <vt:lpstr>'MẪU C13-TT LUONG'!DD0130040_1705</vt:lpstr>
      <vt:lpstr>'MẪU C13-TT LUONG'!DD0130040_1706</vt:lpstr>
      <vt:lpstr>'MẪU C13-TT LUONG'!DD0130040_1707</vt:lpstr>
      <vt:lpstr>'MẪU C13-TT LUONG'!DD0130040_1708</vt:lpstr>
      <vt:lpstr>'MẪU C13-TT LUONG'!DD0130040_1709</vt:lpstr>
      <vt:lpstr>'MẪU C13-TT LUONG'!DD0130040_1710</vt:lpstr>
      <vt:lpstr>'MẪU C13-TT LUONG'!DD0130040_1711</vt:lpstr>
      <vt:lpstr>'MẪU C13-TT LUONG'!DD0130040_1712</vt:lpstr>
      <vt:lpstr>'MẪU C13-TT LUONG'!DD0130040_1713</vt:lpstr>
      <vt:lpstr>'MẪU C13-TT LUONG'!DD0130040_1714</vt:lpstr>
      <vt:lpstr>'MẪU C13-TT LUONG'!DD0130040_1715</vt:lpstr>
      <vt:lpstr>'MẪU C13-TT LUONG'!DD0130040_1716</vt:lpstr>
      <vt:lpstr>'MẪU C13-TT LUONG'!DD0130040_1717</vt:lpstr>
      <vt:lpstr>'MẪU C13-TT LUONG'!DD0130040_1718</vt:lpstr>
      <vt:lpstr>'MẪU C13-TT LUONG'!DD0130040_1719</vt:lpstr>
      <vt:lpstr>'MẪU C13-TT LUONG'!DD0130040_1720</vt:lpstr>
      <vt:lpstr>'MẪU C13-TT LUONG'!DD0130040_1721</vt:lpstr>
      <vt:lpstr>'MẪU C13-TT LUONG'!DD0130040_1722</vt:lpstr>
      <vt:lpstr>'MẪU C13-TT LUONG'!DD0130040_1723</vt:lpstr>
      <vt:lpstr>'MẪU C13-TT LUONG'!DD0130040_1724</vt:lpstr>
      <vt:lpstr>'MẪU C13-TT LUONG'!DD0130040_1725</vt:lpstr>
      <vt:lpstr>'MẪU C13-TT LUONG'!DD0130040_1726</vt:lpstr>
      <vt:lpstr>'MẪU C13-TT LUONG'!DD0130040_1727</vt:lpstr>
      <vt:lpstr>'MẪU C13-TT LUONG'!DD0130040_1728</vt:lpstr>
      <vt:lpstr>'MẪU C13-TT LUONG'!DD0130040_1729</vt:lpstr>
      <vt:lpstr>'MẪU C13-TT LUONG'!DD0130040_1730</vt:lpstr>
      <vt:lpstr>'MẪU C13-TT LUONG'!DD0130040_1731</vt:lpstr>
      <vt:lpstr>'MẪU C13-TT LUONG'!DD0130040_1732</vt:lpstr>
      <vt:lpstr>'MẪU C13-TT LUONG'!DD0130040_1733</vt:lpstr>
      <vt:lpstr>'MẪU C13-TT LUONG'!DD0130040_1734</vt:lpstr>
      <vt:lpstr>'MẪU C13-TT LUONG'!DD0130040_1735</vt:lpstr>
      <vt:lpstr>'MẪU C13-TT LUONG'!DD0130040_1736</vt:lpstr>
      <vt:lpstr>'MẪU C13-TT LUONG'!DD0130040_1737</vt:lpstr>
      <vt:lpstr>'MẪU C13-TT LUONG'!DD0130040_1738</vt:lpstr>
      <vt:lpstr>'MẪU C13-TT LUONG'!DD0130040_1739</vt:lpstr>
      <vt:lpstr>'MẪU C13-TT LUONG'!DD0130040_1740</vt:lpstr>
      <vt:lpstr>'MẪU C13-TT LUONG'!DD0130040_1741</vt:lpstr>
      <vt:lpstr>'MẪU C13-TT LUONG'!DD0130040_1742</vt:lpstr>
      <vt:lpstr>'MẪU C13-TT LUONG'!DD0130040_1743</vt:lpstr>
      <vt:lpstr>'MẪU C13-TT LUONG'!DD0130040_1744</vt:lpstr>
      <vt:lpstr>'MẪU C13-TT LUONG'!DD0130040_1745</vt:lpstr>
      <vt:lpstr>'MẪU C13-TT LUONG'!DD0130040_1746</vt:lpstr>
      <vt:lpstr>'MẪU C13-TT LUONG'!DD0130040_1747</vt:lpstr>
      <vt:lpstr>'MẪU C13-TT LUONG'!DD0130040_1748</vt:lpstr>
      <vt:lpstr>'MẪU C13-TT LUONG'!DD0130040_1749</vt:lpstr>
      <vt:lpstr>'MẪU C13-TT LUONG'!DD0130040_1750</vt:lpstr>
      <vt:lpstr>'MẪU C13-TT LUONG'!DD0130040_1751</vt:lpstr>
      <vt:lpstr>'MẪU C13-TT LUONG'!DD0130040_1752</vt:lpstr>
      <vt:lpstr>'MẪU C13-TT LUONG'!DD0130040_1753</vt:lpstr>
      <vt:lpstr>'MẪU C13-TT LUONG'!DD0130040_1754</vt:lpstr>
      <vt:lpstr>'MẪU C13-TT LUONG'!DD0130040_1755</vt:lpstr>
      <vt:lpstr>'MẪU C13-TT LUONG'!DD0130040_1756</vt:lpstr>
      <vt:lpstr>'MẪU C13-TT LUONG'!DD0130040_1757</vt:lpstr>
      <vt:lpstr>'MẪU C13-TT LUONG'!DD0130040_1758</vt:lpstr>
      <vt:lpstr>'MẪU C13-TT LUONG'!DD0130040_1759</vt:lpstr>
      <vt:lpstr>'MẪU C13-TT LUONG'!DD0130040_1760</vt:lpstr>
      <vt:lpstr>'MẪU C13-TT LUONG'!DD0130040_1761</vt:lpstr>
      <vt:lpstr>'MẪU C13-TT LUONG'!DD0130040_1762</vt:lpstr>
      <vt:lpstr>'MẪU C13-TT LUONG'!DD0130040_1763</vt:lpstr>
      <vt:lpstr>'MẪU C13-TT LUONG'!DD0130040_1764</vt:lpstr>
      <vt:lpstr>'MẪU C13-TT LUONG'!DD0130040_1765</vt:lpstr>
      <vt:lpstr>'MẪU C13-TT LUONG'!DD0130040_1766</vt:lpstr>
      <vt:lpstr>'MẪU C13-TT LUONG'!DD0130040_1767</vt:lpstr>
      <vt:lpstr>'MẪU C13-TT LUONG'!DD0130040_1768</vt:lpstr>
      <vt:lpstr>'MẪU C13-TT LUONG'!DD0130040_1769</vt:lpstr>
      <vt:lpstr>'MẪU C13-TT LUONG'!DD0130040_1770</vt:lpstr>
      <vt:lpstr>'MẪU C13-TT LUONG'!DD0130040_1771</vt:lpstr>
      <vt:lpstr>'MẪU C13-TT LUONG'!DD0130040_1772</vt:lpstr>
      <vt:lpstr>'MẪU C13-TT LUONG'!DD0130040_1773</vt:lpstr>
      <vt:lpstr>'MẪU C13-TT LUONG'!DD0130040_1774</vt:lpstr>
      <vt:lpstr>'MẪU C13-TT LUONG'!DD0130040_1775</vt:lpstr>
      <vt:lpstr>'MẪU C13-TT LUONG'!DD0130040_1776</vt:lpstr>
      <vt:lpstr>'MẪU C13-TT LUONG'!DD0130040_1777</vt:lpstr>
      <vt:lpstr>'MẪU C13-TT LUONG'!DD0130040_1778</vt:lpstr>
      <vt:lpstr>'MẪU C13-TT LUONG'!DD0130040_1779</vt:lpstr>
      <vt:lpstr>'MẪU C13-TT LUONG'!DD0130040_1780</vt:lpstr>
      <vt:lpstr>'MẪU C13-TT LUONG'!DD0130040_1781</vt:lpstr>
      <vt:lpstr>'MẪU C13-TT LUONG'!DD0130040_1782</vt:lpstr>
      <vt:lpstr>'MẪU C13-TT LUONG'!DD0130040_1783</vt:lpstr>
      <vt:lpstr>'MẪU C13-TT LUONG'!DD0130040_1784</vt:lpstr>
      <vt:lpstr>'MẪU C13-TT LUONG'!DD0130040_1785</vt:lpstr>
      <vt:lpstr>'MẪU C13-TT LUONG'!DD0130040_1786</vt:lpstr>
      <vt:lpstr>'MẪU C13-TT LUONG'!DD0130040_1787</vt:lpstr>
      <vt:lpstr>'MẪU C13-TT LUONG'!DD0130040_1788</vt:lpstr>
      <vt:lpstr>'MẪU C13-TT LUONG'!DD0130040_1789</vt:lpstr>
      <vt:lpstr>'MẪU C13-TT LUONG'!DD0130040_1790</vt:lpstr>
      <vt:lpstr>'MẪU C13-TT LUONG'!DD0130040_1791</vt:lpstr>
      <vt:lpstr>'MẪU C13-TT LUONG'!DD0130040_1792</vt:lpstr>
      <vt:lpstr>'MẪU C13-TT LUONG'!DD0130040_1793</vt:lpstr>
      <vt:lpstr>'MẪU C13-TT LUONG'!DD0130040_1794</vt:lpstr>
      <vt:lpstr>'MẪU C13-TT LUONG'!DD0130040_1795</vt:lpstr>
      <vt:lpstr>'MẪU C13-TT LUONG'!DD0130040_1796</vt:lpstr>
      <vt:lpstr>'MẪU C13-TT LUONG'!DD0130040_1797</vt:lpstr>
      <vt:lpstr>'MẪU C13-TT LUONG'!DD0130040_1798</vt:lpstr>
      <vt:lpstr>'MẪU C13-TT LUONG'!DD0130040_1799</vt:lpstr>
      <vt:lpstr>'MẪU C13-TT LUONG'!DD0130040_1800</vt:lpstr>
      <vt:lpstr>'MẪU C13-TT LUONG'!DD0130040_1801</vt:lpstr>
      <vt:lpstr>'MẪU C13-TT LUONG'!DD0130040_1802</vt:lpstr>
      <vt:lpstr>'MẪU C13-TT LUONG'!DD0130040_1803</vt:lpstr>
      <vt:lpstr>'MẪU C13-TT LUONG'!DD0130040_1804</vt:lpstr>
      <vt:lpstr>'MẪU C13-TT LUONG'!DD0130040_1805</vt:lpstr>
      <vt:lpstr>'MẪU C13-TT LUONG'!DD0130040_1806</vt:lpstr>
      <vt:lpstr>'MẪU C13-TT LUONG'!DD0130040_1807</vt:lpstr>
      <vt:lpstr>'MẪU C13-TT LUONG'!DD0130040_1808</vt:lpstr>
      <vt:lpstr>'MẪU C13-TT LUONG'!DD0130040_1809</vt:lpstr>
      <vt:lpstr>'MẪU C13-TT LUONG'!DD0130040_1810</vt:lpstr>
      <vt:lpstr>'MẪU C13-TT LUONG'!DD0130040_1811</vt:lpstr>
      <vt:lpstr>'MẪU C13-TT LUONG'!DD0130040_1812</vt:lpstr>
      <vt:lpstr>'MẪU C13-TT LUONG'!DD0130040_1813</vt:lpstr>
      <vt:lpstr>'MẪU C13-TT LUONG'!DD0130040_1814</vt:lpstr>
      <vt:lpstr>'MẪU C13-TT LUONG'!DD0130040_1815</vt:lpstr>
      <vt:lpstr>'MẪU C13-TT LUONG'!DD0130040_1816</vt:lpstr>
      <vt:lpstr>'MẪU C13-TT LUONG'!DD0130040_1817</vt:lpstr>
      <vt:lpstr>'MẪU C13-TT LUONG'!DD0130040_1818</vt:lpstr>
      <vt:lpstr>'MẪU C13-TT LUONG'!DD0130040_1819</vt:lpstr>
      <vt:lpstr>'MẪU C13-TT LUONG'!DD0130040_1820</vt:lpstr>
      <vt:lpstr>'MẪU C13-TT LUONG'!DD0130040_1821</vt:lpstr>
      <vt:lpstr>'MẪU C13-TT LUONG'!DD0130040_1822</vt:lpstr>
      <vt:lpstr>'MẪU C13-TT LUONG'!DD0130040_1823</vt:lpstr>
      <vt:lpstr>'MẪU C13-TT LUONG'!DD0130040_1824</vt:lpstr>
      <vt:lpstr>'MẪU C13-TT LUONG'!DD0130040_1825</vt:lpstr>
      <vt:lpstr>'MẪU C13-TT LUONG'!DD0130040_1826</vt:lpstr>
      <vt:lpstr>'MẪU C13-TT LUONG'!DD0130040_1827</vt:lpstr>
      <vt:lpstr>'MẪU C13-TT LUONG'!DD0130040_1828</vt:lpstr>
      <vt:lpstr>'MẪU C13-TT LUONG'!DD0130040_1829</vt:lpstr>
      <vt:lpstr>'MẪU C13-TT LUONG'!DD0130040_1830</vt:lpstr>
      <vt:lpstr>'MẪU C13-TT LUONG'!DD0130040_1831</vt:lpstr>
      <vt:lpstr>'MẪU C13-TT LUONG'!DD0130040_1832</vt:lpstr>
      <vt:lpstr>'MẪU C13-TT LUONG'!DD0130040_1833</vt:lpstr>
      <vt:lpstr>'MẪU C13-TT LUONG'!DD0130040_1834</vt:lpstr>
      <vt:lpstr>'MẪU C13-TT LUONG'!DD0130040_1835</vt:lpstr>
      <vt:lpstr>'MẪU C13-TT LUONG'!DD0130040_1836</vt:lpstr>
      <vt:lpstr>'MẪU C13-TT LUONG'!DD0130040_1837</vt:lpstr>
      <vt:lpstr>'MẪU C13-TT LUONG'!DD0130040_1838</vt:lpstr>
      <vt:lpstr>'MẪU C13-TT LUONG'!DD0130040_1839</vt:lpstr>
      <vt:lpstr>'MẪU C13-TT LUONG'!DD0130040_1840</vt:lpstr>
      <vt:lpstr>'MẪU C13-TT LUONG'!DD0130040_1841</vt:lpstr>
      <vt:lpstr>'MẪU C13-TT LUONG'!DD0130040_1842</vt:lpstr>
      <vt:lpstr>'MẪU C13-TT LUONG'!DD0130040_1843</vt:lpstr>
      <vt:lpstr>'MẪU C13-TT LUONG'!DD0130040_1844</vt:lpstr>
      <vt:lpstr>'MẪU C13-TT LUONG'!DD0130040_1845</vt:lpstr>
      <vt:lpstr>'MẪU C13-TT LUONG'!DD0130040_1846</vt:lpstr>
      <vt:lpstr>'MẪU C13-TT LUONG'!DD0130040_1847</vt:lpstr>
      <vt:lpstr>'MẪU C13-TT LUONG'!DD0130040_1848</vt:lpstr>
      <vt:lpstr>'MẪU C13-TT LUONG'!DD0130040_1849</vt:lpstr>
      <vt:lpstr>'MẪU C13-TT LUONG'!DD0130040_1850</vt:lpstr>
      <vt:lpstr>'MẪU C13-TT LUONG'!DD0130040_1851</vt:lpstr>
      <vt:lpstr>'MẪU C13-TT LUONG'!DD0130040_1852</vt:lpstr>
      <vt:lpstr>'MẪU C13-TT LUONG'!DD0130040_1853</vt:lpstr>
      <vt:lpstr>'MẪU C13-TT LUONG'!DD0130040_1854</vt:lpstr>
      <vt:lpstr>'MẪU C13-TT LUONG'!DD0130040_1855</vt:lpstr>
      <vt:lpstr>'MẪU C13-TT LUONG'!DD0130040_1856</vt:lpstr>
      <vt:lpstr>'MẪU C13-TT LUONG'!DD0130040_1857</vt:lpstr>
      <vt:lpstr>'MẪU C13-TT LUONG'!DD0130040_1858</vt:lpstr>
      <vt:lpstr>'MẪU C13-TT LUONG'!DD0130040_1859</vt:lpstr>
      <vt:lpstr>'MẪU C13-TT LUONG'!DD0130040_1860</vt:lpstr>
      <vt:lpstr>'MẪU C13-TT LUONG'!DD0130040_1861</vt:lpstr>
      <vt:lpstr>'MẪU C13-TT LUONG'!DD0130040_1862</vt:lpstr>
      <vt:lpstr>'MẪU C13-TT LUONG'!DD0130040_1863</vt:lpstr>
      <vt:lpstr>'MẪU C13-TT LUONG'!DD0130040_1864</vt:lpstr>
      <vt:lpstr>'MẪU C13-TT LUONG'!DD0130040_1865</vt:lpstr>
      <vt:lpstr>'MẪU C13-TT LUONG'!DD0130040_1866</vt:lpstr>
      <vt:lpstr>'MẪU C13-TT LUONG'!DD0130040_1867</vt:lpstr>
      <vt:lpstr>'MẪU C13-TT LUONG'!DD0130040_1868</vt:lpstr>
      <vt:lpstr>'MẪU C13-TT LUONG'!DD0130040_1869</vt:lpstr>
      <vt:lpstr>'MẪU C13-TT LUONG'!DD0130040_1870</vt:lpstr>
      <vt:lpstr>'MẪU C13-TT LUONG'!DD0130040_1871</vt:lpstr>
      <vt:lpstr>'MẪU C13-TT LUONG'!DD0130040_1872</vt:lpstr>
      <vt:lpstr>'MẪU C13-TT LUONG'!DD0130040_1873</vt:lpstr>
      <vt:lpstr>'MẪU C13-TT LUONG'!DD0130040_1874</vt:lpstr>
      <vt:lpstr>'MẪU C13-TT LUONG'!DD0130040_1875</vt:lpstr>
      <vt:lpstr>'MẪU C13-TT LUONG'!DD0130040_1876</vt:lpstr>
      <vt:lpstr>'MẪU C13-TT LUONG'!DD0130040_1877</vt:lpstr>
      <vt:lpstr>'MẪU C13-TT LUONG'!DD0130040_1878</vt:lpstr>
      <vt:lpstr>'MẪU C13-TT LUONG'!DD0130040_1879</vt:lpstr>
      <vt:lpstr>'MẪU C13-TT LUONG'!DD0130040_1880</vt:lpstr>
      <vt:lpstr>'MẪU C13-TT LUONG'!DD0130040_1881</vt:lpstr>
      <vt:lpstr>'MẪU C13-TT LUONG'!DD0130040_1882</vt:lpstr>
      <vt:lpstr>'MẪU C13-TT LUONG'!DD0130040_1883</vt:lpstr>
      <vt:lpstr>'MẪU C13-TT LUONG'!DD0130040_1884</vt:lpstr>
      <vt:lpstr>'MẪU C13-TT LUONG'!DD0130040_1885</vt:lpstr>
      <vt:lpstr>'MẪU C13-TT LUONG'!DD0130040_1886</vt:lpstr>
      <vt:lpstr>'MẪU C13-TT LUONG'!DD0130040_1887</vt:lpstr>
      <vt:lpstr>'MẪU C13-TT LUONG'!DD0130040_1888</vt:lpstr>
      <vt:lpstr>'MẪU C13-TT LUONG'!DD0130040_1889</vt:lpstr>
      <vt:lpstr>'MẪU C13-TT LUONG'!DD0130040_1890</vt:lpstr>
      <vt:lpstr>'MẪU C13-TT LUONG'!DD0130040_1891</vt:lpstr>
      <vt:lpstr>'MẪU C13-TT LUONG'!DD0130040_1892</vt:lpstr>
      <vt:lpstr>'MẪU C13-TT LUONG'!DD0130040_1893</vt:lpstr>
      <vt:lpstr>'MẪU C13-TT LUONG'!DD0130040_1894</vt:lpstr>
      <vt:lpstr>'MẪU C13-TT LUONG'!DD0130040_1895</vt:lpstr>
      <vt:lpstr>'MẪU C13-TT LUONG'!DD0130040_1896</vt:lpstr>
      <vt:lpstr>'MẪU C13-TT LUONG'!DD0130040_1897</vt:lpstr>
      <vt:lpstr>'MẪU C13-TT LUONG'!DD0130040_1898</vt:lpstr>
      <vt:lpstr>'MẪU C13-TT LUONG'!DD0130040_1899</vt:lpstr>
      <vt:lpstr>'MẪU C13-TT LUONG'!DD0130040_1900</vt:lpstr>
      <vt:lpstr>'MẪU C13-TT LUONG'!DD0130040_1901</vt:lpstr>
      <vt:lpstr>'MẪU C13-TT LUONG'!DD0130040_1902</vt:lpstr>
      <vt:lpstr>'MẪU C13-TT LUONG'!DD0130040_1903</vt:lpstr>
      <vt:lpstr>'MẪU C13-TT LUONG'!DD0130040_1904</vt:lpstr>
      <vt:lpstr>'MẪU C13-TT LUONG'!DD0130040_1905</vt:lpstr>
      <vt:lpstr>'MẪU C13-TT LUONG'!DD0130040_1906</vt:lpstr>
      <vt:lpstr>'MẪU C13-TT LUONG'!DD0130040_1907</vt:lpstr>
      <vt:lpstr>'MẪU C13-TT LUONG'!DD0130040_1908</vt:lpstr>
      <vt:lpstr>'MẪU C13-TT LUONG'!DD0130040_1909</vt:lpstr>
      <vt:lpstr>'MẪU C13-TT LUONG'!DD0130040_1910</vt:lpstr>
      <vt:lpstr>'MẪU C13-TT LUONG'!DD0130040_1911</vt:lpstr>
      <vt:lpstr>'MẪU C13-TT LUONG'!DD0130040_1912</vt:lpstr>
      <vt:lpstr>'MẪU C13-TT LUONG'!DD0130040_1913</vt:lpstr>
      <vt:lpstr>'MẪU C13-TT LUONG'!DD0130040_1914</vt:lpstr>
      <vt:lpstr>'MẪU C13-TT LUONG'!DD0130040_1915</vt:lpstr>
      <vt:lpstr>'MẪU C13-TT LUONG'!DD0130040_1916</vt:lpstr>
      <vt:lpstr>'MẪU C13-TT LUONG'!DD0130040_1917</vt:lpstr>
      <vt:lpstr>'MẪU C13-TT LUONG'!DD0130040_1918</vt:lpstr>
      <vt:lpstr>'MẪU C13-TT LUONG'!DD0130040_1919</vt:lpstr>
      <vt:lpstr>'MẪU C13-TT LUONG'!DD0130040_1920</vt:lpstr>
      <vt:lpstr>'MẪU C13-TT LUONG'!DD0130040_1921</vt:lpstr>
      <vt:lpstr>'MẪU C13-TT LUONG'!DD0130040_1922</vt:lpstr>
      <vt:lpstr>'MẪU C13-TT LUONG'!DD0130040_1923</vt:lpstr>
      <vt:lpstr>'MẪU C13-TT LUONG'!DD0130040_1924</vt:lpstr>
      <vt:lpstr>'MẪU C13-TT LUONG'!DD0130040_1925</vt:lpstr>
      <vt:lpstr>'MẪU C13-TT LUONG'!DD0130040_1926</vt:lpstr>
      <vt:lpstr>'MẪU C13-TT LUONG'!DD0130040_1927</vt:lpstr>
      <vt:lpstr>'MẪU C13-TT LUONG'!DD0130040_1928</vt:lpstr>
      <vt:lpstr>'MẪU C13-TT LUONG'!DD0130040_1929</vt:lpstr>
      <vt:lpstr>'MẪU C13-TT LUONG'!DD0130040_1930</vt:lpstr>
      <vt:lpstr>'MẪU C13-TT LUONG'!DD0130040_1931</vt:lpstr>
      <vt:lpstr>'MẪU C13-TT LUONG'!DD0130040_1932</vt:lpstr>
      <vt:lpstr>'MẪU C13-TT LUONG'!DD0130040_1933</vt:lpstr>
      <vt:lpstr>'MẪU C13-TT LUONG'!DD0130040_1934</vt:lpstr>
      <vt:lpstr>'MẪU C13-TT LUONG'!DD0130040_1935</vt:lpstr>
      <vt:lpstr>'MẪU C13-TT LUONG'!DD0130040_1936</vt:lpstr>
      <vt:lpstr>'MẪU C13-TT LUONG'!DD0130040_1937</vt:lpstr>
      <vt:lpstr>'MẪU C13-TT LUONG'!DD0130040_1938</vt:lpstr>
      <vt:lpstr>'MẪU C13-TT LUONG'!DD0130040_1939</vt:lpstr>
      <vt:lpstr>'MẪU C13-TT LUONG'!DD0130040_1940</vt:lpstr>
      <vt:lpstr>'MẪU C13-TT LUONG'!DD0130040_1941</vt:lpstr>
      <vt:lpstr>'MẪU C13-TT LUONG'!DD0130040_1942</vt:lpstr>
      <vt:lpstr>'MẪU C13-TT LUONG'!DD0130040_1943</vt:lpstr>
      <vt:lpstr>'MẪU C13-TT LUONG'!DD0130040_1944</vt:lpstr>
      <vt:lpstr>'MẪU C13-TT LUONG'!DD0130040_1945</vt:lpstr>
      <vt:lpstr>'MẪU C13-TT LUONG'!DD0130040_1946</vt:lpstr>
      <vt:lpstr>'MẪU C13-TT LUONG'!DD0130040_1947</vt:lpstr>
      <vt:lpstr>'MẪU C13-TT LUONG'!DD0130040_1948</vt:lpstr>
      <vt:lpstr>'MẪU C13-TT LUONG'!DD0130040_1949</vt:lpstr>
      <vt:lpstr>'MẪU C13-TT LUONG'!DD0130040_1950</vt:lpstr>
      <vt:lpstr>'MẪU C13-TT LUONG'!DD0130040_1951</vt:lpstr>
      <vt:lpstr>'MẪU C13-TT LUONG'!DD0130040_1952</vt:lpstr>
      <vt:lpstr>'MẪU C13-TT LUONG'!DD0130040_1953</vt:lpstr>
      <vt:lpstr>'MẪU C13-TT LUONG'!DD0130040_1954</vt:lpstr>
      <vt:lpstr>'MẪU C13-TT LUONG'!DD0130040_1955</vt:lpstr>
      <vt:lpstr>'MẪU C13-TT LUONG'!DD0130040_1956</vt:lpstr>
      <vt:lpstr>'MẪU C13-TT LUONG'!DD0130040_1957</vt:lpstr>
      <vt:lpstr>'MẪU C13-TT LUONG'!DD0130040_1958</vt:lpstr>
      <vt:lpstr>'MẪU C13-TT LUONG'!DD0130040_1959</vt:lpstr>
      <vt:lpstr>'MẪU C13-TT LUONG'!DD0130040_1960</vt:lpstr>
      <vt:lpstr>'MẪU C13-TT LUONG'!DD0130040_1961</vt:lpstr>
      <vt:lpstr>'MẪU C13-TT LUONG'!DD0130040_1962</vt:lpstr>
      <vt:lpstr>'MẪU C13-TT LUONG'!DD0130040_1963</vt:lpstr>
      <vt:lpstr>'MẪU C13-TT LUONG'!DD0130040_1964</vt:lpstr>
      <vt:lpstr>'MẪU C13-TT LUONG'!DD0130040_1965</vt:lpstr>
      <vt:lpstr>'MẪU C13-TT LUONG'!DD0130040_1966</vt:lpstr>
      <vt:lpstr>'MẪU C13-TT LUONG'!DD0130040_1967</vt:lpstr>
      <vt:lpstr>'MẪU C13-TT LUONG'!DD0130040_1968</vt:lpstr>
      <vt:lpstr>'MẪU C13-TT LUONG'!DD0130040_1969</vt:lpstr>
      <vt:lpstr>'MẪU C13-TT LUONG'!DD0130040_1970</vt:lpstr>
      <vt:lpstr>'MẪU C13-TT LUONG'!DD0130040_1971</vt:lpstr>
      <vt:lpstr>'MẪU C13-TT LUONG'!DD0130040_1972</vt:lpstr>
      <vt:lpstr>'MẪU C13-TT LUONG'!DD0130040_1973</vt:lpstr>
      <vt:lpstr>'MẪU C13-TT LUONG'!DD0130040_1974</vt:lpstr>
      <vt:lpstr>'MẪU C13-TT LUONG'!DD0130040_1975</vt:lpstr>
      <vt:lpstr>'MẪU C13-TT LUONG'!DD0130040_1976</vt:lpstr>
      <vt:lpstr>'MẪU C13-TT LUONG'!DD0130040_1977</vt:lpstr>
      <vt:lpstr>'MẪU C13-TT LUONG'!DD0130040_1978</vt:lpstr>
      <vt:lpstr>'MẪU C13-TT LUONG'!DD0130040_1979</vt:lpstr>
      <vt:lpstr>'MẪU C13-TT LUONG'!DD0130040_1980</vt:lpstr>
      <vt:lpstr>'MẪU C13-TT LUONG'!DD0130040_1981</vt:lpstr>
      <vt:lpstr>'MẪU C13-TT LUONG'!DD0130040_1982</vt:lpstr>
      <vt:lpstr>'MẪU C13-TT LUONG'!DD0130040_1983</vt:lpstr>
      <vt:lpstr>'MẪU C13-TT LUONG'!DD0130040_1984</vt:lpstr>
      <vt:lpstr>'MẪU C13-TT LUONG'!DD0130040_1985</vt:lpstr>
      <vt:lpstr>'MẪU C13-TT LUONG'!DD0130040_1986</vt:lpstr>
      <vt:lpstr>'MẪU C13-TT LUONG'!DD0130040_1987</vt:lpstr>
      <vt:lpstr>'MẪU C13-TT LUONG'!DD0130040_1988</vt:lpstr>
      <vt:lpstr>'MẪU C13-TT LUONG'!DD0130040_1989</vt:lpstr>
      <vt:lpstr>'MẪU C13-TT LUONG'!DD0130040_1990</vt:lpstr>
      <vt:lpstr>'MẪU C13-TT LUONG'!DD0130040_1991</vt:lpstr>
      <vt:lpstr>'MẪU C13-TT LUONG'!DD0130040_1992</vt:lpstr>
      <vt:lpstr>'MẪU C13-TT LUONG'!DD0130040_1993</vt:lpstr>
      <vt:lpstr>'MẪU C13-TT LUONG'!DD0130040_1994</vt:lpstr>
      <vt:lpstr>'MẪU C13-TT LUONG'!DD0130040_1995</vt:lpstr>
      <vt:lpstr>'MẪU C13-TT LUONG'!DD0130040_1996</vt:lpstr>
      <vt:lpstr>'MẪU C13-TT LUONG'!DD0130040_1997</vt:lpstr>
      <vt:lpstr>'MẪU C13-TT LUONG'!DD0130040_1998</vt:lpstr>
      <vt:lpstr>'MẪU C13-TT LUONG'!DD0130040_1999</vt:lpstr>
      <vt:lpstr>'MẪU C13-TT LUONG'!DD0130040_2000</vt:lpstr>
      <vt:lpstr>'MẪU C13-TT LUONG'!DD0130040_2001</vt:lpstr>
      <vt:lpstr>'MẪU C13-TT LUONG'!DD0130040_2002</vt:lpstr>
      <vt:lpstr>'MẪU C13-TT LUONG'!DD0130040_2003</vt:lpstr>
      <vt:lpstr>'MẪU C13-TT LUONG'!DD0130040_2004</vt:lpstr>
      <vt:lpstr>'MẪU C13-TT LUONG'!DD0130040_2005</vt:lpstr>
      <vt:lpstr>'MẪU C13-TT LUONG'!DD0130040_2006</vt:lpstr>
      <vt:lpstr>'MẪU C13-TT LUONG'!DD0130040_2007</vt:lpstr>
      <vt:lpstr>'MẪU C13-TT LUONG'!DD0130040_2008</vt:lpstr>
      <vt:lpstr>'MẪU C13-TT LUONG'!DD0130040_2009</vt:lpstr>
      <vt:lpstr>'MẪU C13-TT LUONG'!DD0130040_2010</vt:lpstr>
      <vt:lpstr>'MẪU C13-TT LUONG'!DD0130040_2011</vt:lpstr>
      <vt:lpstr>'MẪU C13-TT LUONG'!DD0130040_2012</vt:lpstr>
      <vt:lpstr>'MẪU C13-TT LUONG'!DD0130040_2013</vt:lpstr>
      <vt:lpstr>'MẪU C13-TT LUONG'!DD0130040_2014</vt:lpstr>
      <vt:lpstr>'MẪU C13-TT LUONG'!DD0130040_2015</vt:lpstr>
      <vt:lpstr>'MẪU C13-TT LUONG'!DD0130040_2016</vt:lpstr>
      <vt:lpstr>'MẪU C13-TT LUONG'!DD0130040_2017</vt:lpstr>
      <vt:lpstr>'MẪU C13-TT LUONG'!DD0130040_2018</vt:lpstr>
      <vt:lpstr>'MẪU C13-TT LUONG'!DD0130040_2019</vt:lpstr>
      <vt:lpstr>'MẪU C13-TT LUONG'!DD0130040_2020</vt:lpstr>
      <vt:lpstr>'MẪU C13-TT LUONG'!DD0130040_2021</vt:lpstr>
      <vt:lpstr>'MẪU C13-TT LUONG'!DD0130040_2022</vt:lpstr>
      <vt:lpstr>'MẪU C13-TT LUONG'!DD0130040_2023</vt:lpstr>
      <vt:lpstr>'MẪU C13-TT LUONG'!DD0130040_2024</vt:lpstr>
      <vt:lpstr>'MẪU C13-TT LUONG'!DD0130040_2025</vt:lpstr>
      <vt:lpstr>'MẪU C13-TT LUONG'!DD0130040_2026</vt:lpstr>
      <vt:lpstr>'MẪU C13-TT LUONG'!DD0130040_2027</vt:lpstr>
      <vt:lpstr>'MẪU C13-TT LUONG'!DD0130040_2028</vt:lpstr>
      <vt:lpstr>'MẪU C13-TT LUONG'!DD0130040_2029</vt:lpstr>
      <vt:lpstr>'MẪU C13-TT LUONG'!DD0130040_2030</vt:lpstr>
      <vt:lpstr>'MẪU C13-TT LUONG'!DD0130040_2031</vt:lpstr>
      <vt:lpstr>'MẪU C13-TT LUONG'!DD0130040_2032</vt:lpstr>
      <vt:lpstr>'MẪU C13-TT LUONG'!DD0130040_2033</vt:lpstr>
      <vt:lpstr>'MẪU C13-TT LUONG'!DD0130040_2034</vt:lpstr>
      <vt:lpstr>'MẪU C13-TT LUONG'!DD0130040_2035</vt:lpstr>
      <vt:lpstr>'MẪU C13-TT LUONG'!DD0130040_2036</vt:lpstr>
      <vt:lpstr>'MẪU C13-TT LUONG'!DD0130040_2037</vt:lpstr>
      <vt:lpstr>'MẪU C13-TT LUONG'!DD0130040_2038</vt:lpstr>
      <vt:lpstr>'MẪU C13-TT LUONG'!DD0130040_2039</vt:lpstr>
      <vt:lpstr>'MẪU C13-TT LUONG'!DD0130040_2040</vt:lpstr>
      <vt:lpstr>'MẪU C13-TT LUONG'!DD0130040_2041</vt:lpstr>
      <vt:lpstr>'MẪU C13-TT LUONG'!DD0130040_2042</vt:lpstr>
      <vt:lpstr>'MẪU C13-TT LUONG'!DD0130040_2043</vt:lpstr>
      <vt:lpstr>'MẪU C13-TT LUONG'!DD0130040_2044</vt:lpstr>
      <vt:lpstr>'MẪU C13-TT LUONG'!DD0130040_2045</vt:lpstr>
      <vt:lpstr>'MẪU C13-TT LUONG'!DD0130040_2046</vt:lpstr>
      <vt:lpstr>'MẪU C13-TT LUONG'!DD0130040_2047</vt:lpstr>
      <vt:lpstr>'MẪU C13-TT LUONG'!DD0130040_2048</vt:lpstr>
      <vt:lpstr>'MẪU C13-TT LUONG'!DD0130040_2049</vt:lpstr>
      <vt:lpstr>'MẪU C13-TT LUONG'!DD0130040_2050</vt:lpstr>
      <vt:lpstr>'MẪU C13-TT LUONG'!DD0130040_2051</vt:lpstr>
      <vt:lpstr>'MẪU C13-TT LUONG'!DD0130040_2052</vt:lpstr>
      <vt:lpstr>'MẪU C13-TT LUONG'!DD0130040_2053</vt:lpstr>
      <vt:lpstr>'MẪU C13-TT LUONG'!DD0130040_2054</vt:lpstr>
      <vt:lpstr>'MẪU C13-TT LUONG'!DD0130040_2055</vt:lpstr>
      <vt:lpstr>'MẪU C13-TT LUONG'!DD0130040_2056</vt:lpstr>
      <vt:lpstr>'MẪU C13-TT LUONG'!DD0130040_2057</vt:lpstr>
      <vt:lpstr>'MẪU C13-TT LUONG'!DD0130040_2058</vt:lpstr>
      <vt:lpstr>'MẪU C13-TT LUONG'!DD0130040_2059</vt:lpstr>
      <vt:lpstr>'MẪU C13-TT LUONG'!DD0130040_2060</vt:lpstr>
      <vt:lpstr>'MẪU C13-TT LUONG'!DD0130040_2061</vt:lpstr>
      <vt:lpstr>'MẪU C13-TT LUONG'!DD0130040_2062</vt:lpstr>
      <vt:lpstr>'MẪU C13-TT LUONG'!DD0130040_2063</vt:lpstr>
      <vt:lpstr>'MẪU C13-TT LUONG'!DD0130040_2064</vt:lpstr>
      <vt:lpstr>'MẪU C13-TT LUONG'!DD0130040_2065</vt:lpstr>
      <vt:lpstr>'MẪU C13-TT LUONG'!DD0130040_2066</vt:lpstr>
      <vt:lpstr>'MẪU C13-TT LUONG'!DD0130040_2067</vt:lpstr>
      <vt:lpstr>'MẪU C13-TT LUONG'!DD0130040_2068</vt:lpstr>
      <vt:lpstr>'MẪU C13-TT LUONG'!DD0130040_2069</vt:lpstr>
      <vt:lpstr>'MẪU C13-TT LUONG'!DD0130040_2070</vt:lpstr>
      <vt:lpstr>'MẪU C13-TT LUONG'!DD0130040_2071</vt:lpstr>
      <vt:lpstr>'MẪU C13-TT LUONG'!DD0130040_2072</vt:lpstr>
      <vt:lpstr>'MẪU C13-TT LUONG'!DD0130040_2073</vt:lpstr>
      <vt:lpstr>'MẪU C13-TT LUONG'!DD0130040_2074</vt:lpstr>
      <vt:lpstr>'MẪU C13-TT LUONG'!DD0130040_2075</vt:lpstr>
      <vt:lpstr>'MẪU C13-TT LUONG'!DD0130040_2076</vt:lpstr>
      <vt:lpstr>'MẪU C13-TT LUONG'!DD0130040_2077</vt:lpstr>
      <vt:lpstr>'MẪU C13-TT LUONG'!DD0130040_2078</vt:lpstr>
      <vt:lpstr>'MẪU C13-TT LUONG'!DD0130040_2079</vt:lpstr>
      <vt:lpstr>'MẪU C13-TT LUONG'!DD0130040_2080</vt:lpstr>
      <vt:lpstr>'MẪU C13-TT LUONG'!DD0130040_2081</vt:lpstr>
      <vt:lpstr>'MẪU C13-TT LUONG'!DD0130040_2082</vt:lpstr>
      <vt:lpstr>'MẪU C13-TT LUONG'!DD0130040_2083</vt:lpstr>
      <vt:lpstr>'MẪU C13-TT LUONG'!DD0130040_2084</vt:lpstr>
      <vt:lpstr>'MẪU C13-TT LUONG'!DD0130040_2085</vt:lpstr>
      <vt:lpstr>'MẪU C13-TT LUONG'!DD0130040_2086</vt:lpstr>
      <vt:lpstr>'MẪU C13-TT LUONG'!DD0130040_2087</vt:lpstr>
      <vt:lpstr>'MẪU C13-TT LUONG'!DD0130040_2088</vt:lpstr>
      <vt:lpstr>'MẪU C13-TT LUONG'!DD0130040_2089</vt:lpstr>
      <vt:lpstr>'MẪU C13-TT LUONG'!DD0130040_2090</vt:lpstr>
      <vt:lpstr>'MẪU C13-TT LUONG'!DD0130040_2091</vt:lpstr>
      <vt:lpstr>'MẪU C13-TT LUONG'!DD0130040_2092</vt:lpstr>
      <vt:lpstr>'MẪU C13-TT LUONG'!DD0130040_2093</vt:lpstr>
      <vt:lpstr>'MẪU C13-TT LUONG'!DD0130040_2094</vt:lpstr>
      <vt:lpstr>'MẪU C13-TT LUONG'!DD0130040_2095</vt:lpstr>
      <vt:lpstr>'MẪU C13-TT LUONG'!DD0130040_2096</vt:lpstr>
      <vt:lpstr>'MẪU C13-TT LUONG'!DD0130040_2097</vt:lpstr>
      <vt:lpstr>'MẪU C13-TT LUONG'!DD0130040_2098</vt:lpstr>
      <vt:lpstr>'MẪU C13-TT LUONG'!DD0130040_2099</vt:lpstr>
      <vt:lpstr>'MẪU C13-TT LUONG'!DD0130040_2100</vt:lpstr>
      <vt:lpstr>'MẪU C13-TT LUONG'!DD0130040_2101</vt:lpstr>
      <vt:lpstr>'MẪU C13-TT LUONG'!DD0130040_2102</vt:lpstr>
      <vt:lpstr>'MẪU C13-TT LUONG'!DD0130040_2103</vt:lpstr>
      <vt:lpstr>'MẪU C13-TT LUONG'!DD0130040_2104</vt:lpstr>
      <vt:lpstr>'MẪU C13-TT LUONG'!DD0130040_2105</vt:lpstr>
      <vt:lpstr>'MẪU C13-TT LUONG'!DD0130040_2106</vt:lpstr>
      <vt:lpstr>'MẪU C13-TT LUONG'!DD0130040_2107</vt:lpstr>
      <vt:lpstr>'MẪU C13-TT LUONG'!DD0130040_297</vt:lpstr>
      <vt:lpstr>'MẪU C13-TT LUONG'!DD0130040_298</vt:lpstr>
      <vt:lpstr>'MẪU C13-TT LUONG'!DD0130040_299</vt:lpstr>
      <vt:lpstr>'MẪU C13-TT LUONG'!DD0130040_300</vt:lpstr>
      <vt:lpstr>'MẪU C13-TT LUONG'!DD0130040_301</vt:lpstr>
      <vt:lpstr>'MẪU C13-TT LUONG'!DD0130040_302</vt:lpstr>
      <vt:lpstr>'MẪU C13-TT LUONG'!DD0130040_303</vt:lpstr>
      <vt:lpstr>'MẪU C13-TT LUONG'!DD0130040_304</vt:lpstr>
      <vt:lpstr>'MẪU C13-TT LUONG'!DD0130040_305</vt:lpstr>
      <vt:lpstr>'MẪU C13-TT LUONG'!DD0130040_306</vt:lpstr>
      <vt:lpstr>'MẪU C13-TT LUONG'!DD0130040_307</vt:lpstr>
      <vt:lpstr>'MẪU C13-TT LUONG'!DD0130040_308</vt:lpstr>
      <vt:lpstr>'MẪU C13-TT LUONG'!DD0130040_309</vt:lpstr>
      <vt:lpstr>'MẪU C13-TT LUONG'!DD0130040_310</vt:lpstr>
      <vt:lpstr>'MẪU C13-TT LUONG'!DD0130040_311</vt:lpstr>
      <vt:lpstr>'MẪU C13-TT LUONG'!DD0130040_312</vt:lpstr>
      <vt:lpstr>'MẪU C13-TT LUONG'!DD0130040_313</vt:lpstr>
      <vt:lpstr>'MẪU C13-TT LUONG'!DD0130040_314</vt:lpstr>
      <vt:lpstr>'MẪU C13-TT LUONG'!DD0130040_315</vt:lpstr>
      <vt:lpstr>'MẪU C13-TT LUONG'!DD0130040_316</vt:lpstr>
      <vt:lpstr>'MẪU C13-TT LUONG'!DD0130040_317</vt:lpstr>
      <vt:lpstr>'MẪU C13-TT LUONG'!DD0130040_318</vt:lpstr>
      <vt:lpstr>'MẪU C13-TT LUONG'!DD0130040_319</vt:lpstr>
      <vt:lpstr>'MẪU C13-TT LUONG'!DD0130040_320</vt:lpstr>
      <vt:lpstr>'MẪU C13-TT LUONG'!DD0130040_321</vt:lpstr>
      <vt:lpstr>'MẪU C13-TT LUONG'!DD0130040_322</vt:lpstr>
      <vt:lpstr>'MẪU C13-TT LUONG'!DD0130040_323</vt:lpstr>
      <vt:lpstr>'MẪU C13-TT LUONG'!DD0130040_324</vt:lpstr>
      <vt:lpstr>'MẪU C13-TT LUONG'!DD0130040_325</vt:lpstr>
      <vt:lpstr>'MẪU C13-TT LUONG'!DD0130040_326</vt:lpstr>
      <vt:lpstr>'MẪU C13-TT LUONG'!DD0130040_327</vt:lpstr>
      <vt:lpstr>'MẪU C13-TT LUONG'!DD0130040_328</vt:lpstr>
      <vt:lpstr>'MẪU C13-TT LUONG'!DD0130040_329</vt:lpstr>
      <vt:lpstr>'MẪU C13-TT LUONG'!DD0130040_330</vt:lpstr>
      <vt:lpstr>'MẪU C13-TT LUONG'!DD0130040_331</vt:lpstr>
      <vt:lpstr>'MẪU C13-TT LUONG'!DD0130040_332</vt:lpstr>
      <vt:lpstr>'MẪU C13-TT LUONG'!DD0130040_333</vt:lpstr>
      <vt:lpstr>'MẪU C13-TT LUONG'!DD0130040_334</vt:lpstr>
      <vt:lpstr>'MẪU C13-TT LUONG'!DD0130040_335</vt:lpstr>
      <vt:lpstr>'MẪU C13-TT LUONG'!DD0130040_336</vt:lpstr>
      <vt:lpstr>'MẪU C13-TT LUONG'!DD0130040_337</vt:lpstr>
      <vt:lpstr>'MẪU C13-TT LUONG'!DD0130040_338</vt:lpstr>
      <vt:lpstr>'MẪU C13-TT LUONG'!DD0130040_339</vt:lpstr>
      <vt:lpstr>'MẪU C13-TT LUONG'!DD0130040_340</vt:lpstr>
      <vt:lpstr>'MẪU C13-TT LUONG'!DD0130040_341</vt:lpstr>
      <vt:lpstr>'MẪU C13-TT LUONG'!DD0130040_342</vt:lpstr>
      <vt:lpstr>'MẪU C13-TT LUONG'!DD0130040_343</vt:lpstr>
      <vt:lpstr>'MẪU C13-TT LUONG'!DD0130040_344</vt:lpstr>
      <vt:lpstr>'MẪU C13-TT LUONG'!DD0130040_345</vt:lpstr>
      <vt:lpstr>'MẪU C13-TT LUONG'!DD0130040_346</vt:lpstr>
      <vt:lpstr>'MẪU C13-TT LUONG'!DD0130040_347</vt:lpstr>
      <vt:lpstr>'MẪU C13-TT LUONG'!DD0130040_348</vt:lpstr>
      <vt:lpstr>'MẪU C13-TT LUONG'!DD0130040_349</vt:lpstr>
      <vt:lpstr>'MẪU C13-TT LUONG'!DD0130040_350</vt:lpstr>
      <vt:lpstr>'MẪU C13-TT LUONG'!DD0130040_351</vt:lpstr>
      <vt:lpstr>'MẪU C13-TT LUONG'!DD0130040_352</vt:lpstr>
      <vt:lpstr>'MẪU C13-TT LUONG'!DD0130040_353</vt:lpstr>
      <vt:lpstr>'MẪU C13-TT LUONG'!DD0130040_354</vt:lpstr>
      <vt:lpstr>'MẪU C13-TT LUONG'!DD0130040_355</vt:lpstr>
      <vt:lpstr>'MẪU C13-TT LUONG'!DD0130040_356</vt:lpstr>
      <vt:lpstr>'MẪU C13-TT LUONG'!DD0130040_357</vt:lpstr>
      <vt:lpstr>'MẪU C13-TT LUONG'!DD0130040_358</vt:lpstr>
      <vt:lpstr>'MẪU C13-TT LUONG'!DD0130040_359</vt:lpstr>
      <vt:lpstr>'MẪU C13-TT LUONG'!DD0130040_360</vt:lpstr>
      <vt:lpstr>'MẪU C13-TT LUONG'!DD0130040_361</vt:lpstr>
      <vt:lpstr>'MẪU C13-TT LUONG'!DD0130040_362</vt:lpstr>
      <vt:lpstr>'MẪU C13-TT LUONG'!DD0130040_363</vt:lpstr>
      <vt:lpstr>'MẪU C13-TT LUONG'!DD0130040_364</vt:lpstr>
      <vt:lpstr>'MẪU C13-TT LUONG'!DD0130040_365</vt:lpstr>
      <vt:lpstr>'MẪU C13-TT LUONG'!DD0130040_366</vt:lpstr>
      <vt:lpstr>'MẪU C13-TT LUONG'!DD0130040_367</vt:lpstr>
      <vt:lpstr>'MẪU C13-TT LUONG'!DD0130040_368</vt:lpstr>
      <vt:lpstr>'MẪU C13-TT LUONG'!DD0130040_369</vt:lpstr>
      <vt:lpstr>'MẪU C13-TT LUONG'!DD0130040_370</vt:lpstr>
      <vt:lpstr>'MẪU C13-TT LUONG'!DD0130040_371</vt:lpstr>
      <vt:lpstr>'MẪU C13-TT LUONG'!DD0130040_372</vt:lpstr>
      <vt:lpstr>'MẪU C13-TT LUONG'!DD0130040_373</vt:lpstr>
      <vt:lpstr>'MẪU C13-TT LUONG'!DD0130040_374</vt:lpstr>
      <vt:lpstr>'MẪU C13-TT LUONG'!DD0130040_375</vt:lpstr>
      <vt:lpstr>'MẪU C13-TT LUONG'!DD0130040_376</vt:lpstr>
      <vt:lpstr>'MẪU C13-TT LUONG'!DD0130040_377</vt:lpstr>
      <vt:lpstr>'MẪU C13-TT LUONG'!DD0130040_378</vt:lpstr>
      <vt:lpstr>'MẪU C13-TT LUONG'!DD0130040_379</vt:lpstr>
      <vt:lpstr>'MẪU C13-TT LUONG'!DD0130040_380</vt:lpstr>
      <vt:lpstr>'MẪU C13-TT LUONG'!DD0130040_381</vt:lpstr>
      <vt:lpstr>'MẪU C13-TT LUONG'!DD0130040_382</vt:lpstr>
      <vt:lpstr>'MẪU C13-TT LUONG'!DD0130040_383</vt:lpstr>
      <vt:lpstr>'MẪU C13-TT LUONG'!DD0130040_384</vt:lpstr>
      <vt:lpstr>'MẪU C13-TT LUONG'!DD0130040_385</vt:lpstr>
      <vt:lpstr>'MẪU C13-TT LUONG'!DD0130040_386</vt:lpstr>
      <vt:lpstr>'MẪU C13-TT LUONG'!DD0130040_387</vt:lpstr>
      <vt:lpstr>'MẪU C13-TT LUONG'!DD0130040_388</vt:lpstr>
      <vt:lpstr>'MẪU C13-TT LUONG'!DD0130040_389</vt:lpstr>
      <vt:lpstr>'MẪU C13-TT LUONG'!DD0130040_390</vt:lpstr>
      <vt:lpstr>'MẪU C13-TT LUONG'!DD0130040_391</vt:lpstr>
      <vt:lpstr>'MẪU C13-TT LUONG'!DD0130040_392</vt:lpstr>
      <vt:lpstr>'MẪU C13-TT LUONG'!DD0130040_393</vt:lpstr>
      <vt:lpstr>'MẪU C13-TT LUONG'!DD0130040_394</vt:lpstr>
      <vt:lpstr>'MẪU C13-TT LUONG'!DD0130040_395</vt:lpstr>
      <vt:lpstr>'MẪU C13-TT LUONG'!DD0130040_396</vt:lpstr>
      <vt:lpstr>'MẪU C13-TT LUONG'!DD0130040_397</vt:lpstr>
      <vt:lpstr>'MẪU C13-TT LUONG'!DD0130040_398</vt:lpstr>
      <vt:lpstr>'MẪU C13-TT LUONG'!DD0130040_399</vt:lpstr>
      <vt:lpstr>'MẪU C13-TT LUONG'!DD0130040_400</vt:lpstr>
      <vt:lpstr>'MẪU C13-TT LUONG'!DD0130040_401</vt:lpstr>
      <vt:lpstr>'MẪU C13-TT LUONG'!DD0130040_402</vt:lpstr>
      <vt:lpstr>'MẪU C13-TT LUONG'!DD0130040_403</vt:lpstr>
      <vt:lpstr>'MẪU C13-TT LUONG'!DD0130040_404</vt:lpstr>
      <vt:lpstr>'MẪU C13-TT LUONG'!DD0130040_405</vt:lpstr>
      <vt:lpstr>'MẪU C13-TT LUONG'!DD0130040_406</vt:lpstr>
      <vt:lpstr>'MẪU C13-TT LUONG'!DD0130040_407</vt:lpstr>
      <vt:lpstr>'MẪU C13-TT LUONG'!DD0130040_408</vt:lpstr>
      <vt:lpstr>'MẪU C13-TT LUONG'!DD0130040_409</vt:lpstr>
      <vt:lpstr>'MẪU C13-TT LUONG'!DD0130040_410</vt:lpstr>
      <vt:lpstr>'MẪU C13-TT LUONG'!DD0130040_411</vt:lpstr>
      <vt:lpstr>'MẪU C13-TT LUONG'!DD0130040_412</vt:lpstr>
      <vt:lpstr>'MẪU C13-TT LUONG'!DD0130040_413</vt:lpstr>
      <vt:lpstr>'MẪU C13-TT LUONG'!DD0130040_414</vt:lpstr>
      <vt:lpstr>'MẪU C13-TT LUONG'!DD0130040_415</vt:lpstr>
      <vt:lpstr>'MẪU C13-TT LUONG'!DD0130040_416</vt:lpstr>
      <vt:lpstr>'MẪU C13-TT LUONG'!DD0130040_417</vt:lpstr>
      <vt:lpstr>'MẪU C13-TT LUONG'!DD0130040_418</vt:lpstr>
      <vt:lpstr>'MẪU C13-TT LUONG'!DD0130040_419</vt:lpstr>
      <vt:lpstr>'MẪU C13-TT LUONG'!DD0130040_420</vt:lpstr>
      <vt:lpstr>'MẪU C13-TT LUONG'!DD0130040_421</vt:lpstr>
      <vt:lpstr>'MẪU C13-TT LUONG'!DD0130040_422</vt:lpstr>
      <vt:lpstr>'MẪU C13-TT LUONG'!DD0130040_423</vt:lpstr>
      <vt:lpstr>'MẪU C13-TT LUONG'!DD0130040_424</vt:lpstr>
      <vt:lpstr>'MẪU C13-TT LUONG'!DD0130040_425</vt:lpstr>
      <vt:lpstr>'MẪU C13-TT LUONG'!DD0130040_426</vt:lpstr>
      <vt:lpstr>'MẪU C13-TT LUONG'!DD0130040_427</vt:lpstr>
      <vt:lpstr>'MẪU C13-TT LUONG'!DD0130040_428</vt:lpstr>
      <vt:lpstr>'MẪU C13-TT LUONG'!DD0130040_429</vt:lpstr>
      <vt:lpstr>'MẪU C13-TT LUONG'!DD0130040_430</vt:lpstr>
      <vt:lpstr>'MẪU C13-TT LUONG'!DD0130040_431</vt:lpstr>
      <vt:lpstr>'MẪU C13-TT LUONG'!DD0130040_432</vt:lpstr>
      <vt:lpstr>'MẪU C13-TT LUONG'!DD0130040_433</vt:lpstr>
      <vt:lpstr>'MẪU C13-TT LUONG'!DD0130040_434</vt:lpstr>
      <vt:lpstr>'MẪU C13-TT LUONG'!DD0130040_435</vt:lpstr>
      <vt:lpstr>'MẪU C13-TT LUONG'!DD0130040_436</vt:lpstr>
      <vt:lpstr>'MẪU C13-TT LUONG'!DD0130040_437</vt:lpstr>
      <vt:lpstr>'MẪU C13-TT LUONG'!DD0130040_438</vt:lpstr>
      <vt:lpstr>'MẪU C13-TT LUONG'!DD0130040_439</vt:lpstr>
      <vt:lpstr>'MẪU C13-TT LUONG'!DD0130040_440</vt:lpstr>
      <vt:lpstr>'MẪU C13-TT LUONG'!DD0130040_441</vt:lpstr>
      <vt:lpstr>'MẪU C13-TT LUONG'!DD0130040_442</vt:lpstr>
      <vt:lpstr>'MẪU C13-TT LUONG'!DD0130040_443</vt:lpstr>
      <vt:lpstr>'MẪU C13-TT LUONG'!DD0130040_444</vt:lpstr>
      <vt:lpstr>'MẪU C13-TT LUONG'!DD0130040_445</vt:lpstr>
      <vt:lpstr>'MẪU C13-TT LUONG'!DD0130040_446</vt:lpstr>
      <vt:lpstr>'MẪU C13-TT LUONG'!DD0130040_447</vt:lpstr>
      <vt:lpstr>'MẪU C13-TT LUONG'!DD0130040_448</vt:lpstr>
      <vt:lpstr>'MẪU C13-TT LUONG'!DD0130040_449</vt:lpstr>
      <vt:lpstr>'MẪU C13-TT LUONG'!DD0130040_450</vt:lpstr>
      <vt:lpstr>'MẪU C13-TT LUONG'!DD0130040_451</vt:lpstr>
      <vt:lpstr>'MẪU C13-TT LUONG'!DD0130040_452</vt:lpstr>
      <vt:lpstr>'MẪU C13-TT LUONG'!DD0130040_453</vt:lpstr>
      <vt:lpstr>'MẪU C13-TT LUONG'!DD0130040_454</vt:lpstr>
      <vt:lpstr>'MẪU C13-TT LUONG'!DD0130040_455</vt:lpstr>
      <vt:lpstr>'MẪU C13-TT LUONG'!DD0130040_456</vt:lpstr>
      <vt:lpstr>'MẪU C13-TT LUONG'!DD0130040_457</vt:lpstr>
      <vt:lpstr>'MẪU C13-TT LUONG'!DD0130040_458</vt:lpstr>
      <vt:lpstr>'MẪU C13-TT LUONG'!DD0130040_459</vt:lpstr>
      <vt:lpstr>'MẪU C13-TT LUONG'!DD0130040_460</vt:lpstr>
      <vt:lpstr>'MẪU C13-TT LUONG'!DD0130040_461</vt:lpstr>
      <vt:lpstr>'MẪU C13-TT LUONG'!DD0130040_462</vt:lpstr>
      <vt:lpstr>'MẪU C13-TT LUONG'!DD0130040_463</vt:lpstr>
      <vt:lpstr>'MẪU C13-TT LUONG'!DD0130040_464</vt:lpstr>
      <vt:lpstr>'MẪU C13-TT LUONG'!DD0130040_465</vt:lpstr>
      <vt:lpstr>'MẪU C13-TT LUONG'!DD0130040_466</vt:lpstr>
      <vt:lpstr>'MẪU C13-TT LUONG'!DD0130040_467</vt:lpstr>
      <vt:lpstr>'MẪU C13-TT LUONG'!DD0130040_468</vt:lpstr>
      <vt:lpstr>'MẪU C13-TT LUONG'!DD0130040_469</vt:lpstr>
      <vt:lpstr>'MẪU C13-TT LUONG'!DD0130040_470</vt:lpstr>
      <vt:lpstr>'MẪU C13-TT LUONG'!DD0130040_471</vt:lpstr>
      <vt:lpstr>'MẪU C13-TT LUONG'!DD0130040_472</vt:lpstr>
      <vt:lpstr>'MẪU C13-TT LUONG'!DD0130040_473</vt:lpstr>
      <vt:lpstr>'MẪU C13-TT LUONG'!DD0130040_474</vt:lpstr>
      <vt:lpstr>'MẪU C13-TT LUONG'!DD0130040_475</vt:lpstr>
      <vt:lpstr>'MẪU C13-TT LUONG'!DD0130040_476</vt:lpstr>
      <vt:lpstr>'MẪU C13-TT LUONG'!DD0130040_477</vt:lpstr>
      <vt:lpstr>'MẪU C13-TT LUONG'!DD0130040_478</vt:lpstr>
      <vt:lpstr>'MẪU C13-TT LUONG'!DD0130040_479</vt:lpstr>
      <vt:lpstr>'MẪU C13-TT LUONG'!DD0130040_480</vt:lpstr>
      <vt:lpstr>'MẪU C13-TT LUONG'!DD0130040_481</vt:lpstr>
      <vt:lpstr>'MẪU C13-TT LUONG'!DD0130040_482</vt:lpstr>
      <vt:lpstr>'MẪU C13-TT LUONG'!DD0130040_483</vt:lpstr>
      <vt:lpstr>'MẪU C13-TT LUONG'!DD0130040_484</vt:lpstr>
      <vt:lpstr>'MẪU C13-TT LUONG'!DD0130040_485</vt:lpstr>
      <vt:lpstr>'MẪU C13-TT LUONG'!DD0130040_486</vt:lpstr>
      <vt:lpstr>'MẪU C13-TT LUONG'!DD0130040_487</vt:lpstr>
      <vt:lpstr>'MẪU C13-TT LUONG'!DD0130040_488</vt:lpstr>
      <vt:lpstr>'MẪU C13-TT LUONG'!DD0130040_489</vt:lpstr>
      <vt:lpstr>'MẪU C13-TT LUONG'!DD0130040_490</vt:lpstr>
      <vt:lpstr>'MẪU C13-TT LUONG'!DD0130040_491</vt:lpstr>
      <vt:lpstr>'MẪU C13-TT LUONG'!DD0130040_492</vt:lpstr>
      <vt:lpstr>'MẪU C13-TT LUONG'!DD0130040_493</vt:lpstr>
      <vt:lpstr>'MẪU C13-TT LUONG'!DD0130040_494</vt:lpstr>
      <vt:lpstr>'MẪU C13-TT LUONG'!DD0130040_495</vt:lpstr>
      <vt:lpstr>'MẪU C13-TT LUONG'!DD0130040_496</vt:lpstr>
      <vt:lpstr>'MẪU C13-TT LUONG'!DD0130040_497</vt:lpstr>
      <vt:lpstr>'MẪU C13-TT LUONG'!DD0130040_498</vt:lpstr>
      <vt:lpstr>'MẪU C13-TT LUONG'!DD0130040_499</vt:lpstr>
      <vt:lpstr>'MẪU C13-TT LUONG'!DD0130040_500</vt:lpstr>
      <vt:lpstr>'MẪU C13-TT LUONG'!DD0130040_501</vt:lpstr>
      <vt:lpstr>'MẪU C13-TT LUONG'!DD0130040_502</vt:lpstr>
      <vt:lpstr>'MẪU C13-TT LUONG'!DD0130040_503</vt:lpstr>
      <vt:lpstr>'MẪU C13-TT LUONG'!DD0130040_504</vt:lpstr>
      <vt:lpstr>'MẪU C13-TT LUONG'!DD0130040_505</vt:lpstr>
      <vt:lpstr>'MẪU C13-TT LUONG'!DD0130040_506</vt:lpstr>
      <vt:lpstr>'MẪU C13-TT LUONG'!DD0130040_507</vt:lpstr>
      <vt:lpstr>'MẪU C13-TT LUONG'!DD0130040_508</vt:lpstr>
      <vt:lpstr>'MẪU C13-TT LUONG'!DD0130040_509</vt:lpstr>
      <vt:lpstr>'MẪU C13-TT LUONG'!DD0130040_510</vt:lpstr>
      <vt:lpstr>'MẪU C13-TT LUONG'!DD0130040_511</vt:lpstr>
      <vt:lpstr>'MẪU C13-TT LUONG'!DD0130040_512</vt:lpstr>
      <vt:lpstr>'MẪU C13-TT LUONG'!DD0130040_513</vt:lpstr>
      <vt:lpstr>'MẪU C13-TT LUONG'!DD0130040_514</vt:lpstr>
      <vt:lpstr>'MẪU C13-TT LUONG'!DD0130040_515</vt:lpstr>
      <vt:lpstr>'MẪU C13-TT LUONG'!DD0130040_516</vt:lpstr>
      <vt:lpstr>'MẪU C13-TT LUONG'!DD0130040_517</vt:lpstr>
      <vt:lpstr>'MẪU C13-TT LUONG'!DD0130040_518</vt:lpstr>
      <vt:lpstr>'MẪU C13-TT LUONG'!DD0130040_519</vt:lpstr>
      <vt:lpstr>'MẪU C13-TT LUONG'!DD0130040_520</vt:lpstr>
      <vt:lpstr>'MẪU C13-TT LUONG'!DD0130040_521</vt:lpstr>
      <vt:lpstr>'MẪU C13-TT LUONG'!DD0130040_522</vt:lpstr>
      <vt:lpstr>'MẪU C13-TT LUONG'!DD0130040_523</vt:lpstr>
      <vt:lpstr>'MẪU C13-TT LUONG'!DD0130040_524</vt:lpstr>
      <vt:lpstr>'MẪU C13-TT LUONG'!DD0130040_525</vt:lpstr>
      <vt:lpstr>'MẪU C13-TT LUONG'!DD0130040_526</vt:lpstr>
      <vt:lpstr>'MẪU C13-TT LUONG'!DD0130040_527</vt:lpstr>
      <vt:lpstr>'MẪU C13-TT LUONG'!DD0130040_528</vt:lpstr>
      <vt:lpstr>'MẪU C13-TT LUONG'!DD0130040_529</vt:lpstr>
      <vt:lpstr>'MẪU C13-TT LUONG'!DD0130040_530</vt:lpstr>
      <vt:lpstr>'MẪU C13-TT LUONG'!DD0130040_531</vt:lpstr>
      <vt:lpstr>'MẪU C13-TT LUONG'!DD0130040_532</vt:lpstr>
      <vt:lpstr>'MẪU C13-TT LUONG'!DD0130040_533</vt:lpstr>
      <vt:lpstr>'MẪU C13-TT LUONG'!DD0130040_534</vt:lpstr>
      <vt:lpstr>'MẪU C13-TT LUONG'!DD0130040_535</vt:lpstr>
      <vt:lpstr>'MẪU C13-TT LUONG'!DD0130040_536</vt:lpstr>
      <vt:lpstr>'MẪU C13-TT LUONG'!DD0130040_537</vt:lpstr>
      <vt:lpstr>'MẪU C13-TT LUONG'!DD0130040_538</vt:lpstr>
      <vt:lpstr>'MẪU C13-TT LUONG'!DD0130040_539</vt:lpstr>
      <vt:lpstr>'MẪU C13-TT LUONG'!DD0130040_540</vt:lpstr>
      <vt:lpstr>'MẪU C13-TT LUONG'!DD0130040_541</vt:lpstr>
      <vt:lpstr>'MẪU C13-TT LUONG'!DD0130040_542</vt:lpstr>
      <vt:lpstr>'MẪU C13-TT LUONG'!DD0130040_543</vt:lpstr>
      <vt:lpstr>'MẪU C13-TT LUONG'!DD0130040_544</vt:lpstr>
      <vt:lpstr>'MẪU C13-TT LUONG'!DD0130040_545</vt:lpstr>
      <vt:lpstr>'MẪU C13-TT LUONG'!DD0130040_546</vt:lpstr>
      <vt:lpstr>'MẪU C13-TT LUONG'!DD0130040_547</vt:lpstr>
      <vt:lpstr>'MẪU C13-TT LUONG'!DD0130040_548</vt:lpstr>
      <vt:lpstr>'MẪU C13-TT LUONG'!DD0130040_549</vt:lpstr>
      <vt:lpstr>'MẪU C13-TT LUONG'!DD0130040_550</vt:lpstr>
      <vt:lpstr>'MẪU C13-TT LUONG'!DD0130040_551</vt:lpstr>
      <vt:lpstr>'MẪU C13-TT LUONG'!DD0130040_552</vt:lpstr>
      <vt:lpstr>'MẪU C13-TT LUONG'!DD0130040_553</vt:lpstr>
      <vt:lpstr>'MẪU C13-TT LUONG'!DD0130040_554</vt:lpstr>
      <vt:lpstr>'MẪU C13-TT LUONG'!DD0130040_555</vt:lpstr>
      <vt:lpstr>'MẪU C13-TT LUONG'!DD0130040_556</vt:lpstr>
      <vt:lpstr>'MẪU C13-TT LUONG'!DD0130040_557</vt:lpstr>
      <vt:lpstr>'MẪU C13-TT LUONG'!DD0130040_558</vt:lpstr>
      <vt:lpstr>'MẪU C13-TT LUONG'!DD0130040_559</vt:lpstr>
      <vt:lpstr>'MẪU C13-TT LUONG'!DD0130040_560</vt:lpstr>
      <vt:lpstr>'MẪU C13-TT LUONG'!DD0130040_561</vt:lpstr>
      <vt:lpstr>'MẪU C13-TT LUONG'!DD0130040_562</vt:lpstr>
      <vt:lpstr>'MẪU C13-TT LUONG'!DD0130040_563</vt:lpstr>
      <vt:lpstr>'MẪU C13-TT LUONG'!DD0130040_564</vt:lpstr>
      <vt:lpstr>'MẪU C13-TT LUONG'!DD0130040_565</vt:lpstr>
      <vt:lpstr>'MẪU C13-TT LUONG'!DD0130040_566</vt:lpstr>
      <vt:lpstr>'MẪU C13-TT LUONG'!DD0130040_567</vt:lpstr>
      <vt:lpstr>'MẪU C13-TT LUONG'!DD0130040_568</vt:lpstr>
      <vt:lpstr>'MẪU C13-TT LUONG'!DD0130040_569</vt:lpstr>
      <vt:lpstr>'MẪU C13-TT LUONG'!DD0130040_570</vt:lpstr>
      <vt:lpstr>'MẪU C13-TT LUONG'!DD0130040_571</vt:lpstr>
      <vt:lpstr>'MẪU C13-TT LUONG'!DD0130040_572</vt:lpstr>
      <vt:lpstr>'MẪU C13-TT LUONG'!DD0130040_573</vt:lpstr>
      <vt:lpstr>'MẪU C13-TT LUONG'!DD0130040_574</vt:lpstr>
      <vt:lpstr>'MẪU C13-TT LUONG'!DD0130040_575</vt:lpstr>
      <vt:lpstr>'MẪU C13-TT LUONG'!DD0130040_576</vt:lpstr>
      <vt:lpstr>'MẪU C13-TT LUONG'!DD0130040_577</vt:lpstr>
      <vt:lpstr>'MẪU C13-TT LUONG'!DD0130040_578</vt:lpstr>
      <vt:lpstr>'MẪU C13-TT LUONG'!DD0130040_579</vt:lpstr>
      <vt:lpstr>'MẪU C13-TT LUONG'!DD0130040_580</vt:lpstr>
      <vt:lpstr>'MẪU C13-TT LUONG'!DD0130040_581</vt:lpstr>
      <vt:lpstr>'MẪU C13-TT LUONG'!DD0130040_582</vt:lpstr>
      <vt:lpstr>'MẪU C13-TT LUONG'!DD0130040_583</vt:lpstr>
      <vt:lpstr>'MẪU C13-TT LUONG'!DD0130040_584</vt:lpstr>
      <vt:lpstr>'MẪU C13-TT LUONG'!DD0130040_585</vt:lpstr>
      <vt:lpstr>'MẪU C13-TT LUONG'!DD0130040_586</vt:lpstr>
      <vt:lpstr>'MẪU C13-TT LUONG'!DD0130040_587</vt:lpstr>
      <vt:lpstr>'MẪU C13-TT LUONG'!DD0130040_588</vt:lpstr>
      <vt:lpstr>'MẪU C13-TT LUONG'!DD0130040_589</vt:lpstr>
      <vt:lpstr>'MẪU C13-TT LUONG'!DD0130040_590</vt:lpstr>
      <vt:lpstr>'MẪU C13-TT LUONG'!DD0130040_591</vt:lpstr>
      <vt:lpstr>'MẪU C13-TT LUONG'!DD0130040_592</vt:lpstr>
      <vt:lpstr>'MẪU C13-TT LUONG'!DD0130040_593</vt:lpstr>
      <vt:lpstr>'MẪU C13-TT LUONG'!DD0130040_594</vt:lpstr>
      <vt:lpstr>'MẪU C13-TT LUONG'!DD0130040_595</vt:lpstr>
      <vt:lpstr>'MẪU C13-TT LUONG'!DD0130040_596</vt:lpstr>
      <vt:lpstr>'MẪU C13-TT LUONG'!DD0130040_597</vt:lpstr>
      <vt:lpstr>'MẪU C13-TT LUONG'!DD0130040_598</vt:lpstr>
      <vt:lpstr>'MẪU C13-TT LUONG'!DD0130040_599</vt:lpstr>
      <vt:lpstr>'MẪU C13-TT LUONG'!DD0130040_600</vt:lpstr>
      <vt:lpstr>'MẪU C13-TT LUONG'!DD0130040_601</vt:lpstr>
      <vt:lpstr>'MẪU C13-TT LUONG'!DD0130040_602</vt:lpstr>
      <vt:lpstr>'MẪU C13-TT LUONG'!DD0130040_603</vt:lpstr>
      <vt:lpstr>'MẪU C13-TT LUONG'!DD0130040_604</vt:lpstr>
      <vt:lpstr>'MẪU C13-TT LUONG'!DD0130040_605</vt:lpstr>
      <vt:lpstr>'MẪU C13-TT LUONG'!DD0130040_606</vt:lpstr>
      <vt:lpstr>'MẪU C13-TT LUONG'!DD0130040_607</vt:lpstr>
      <vt:lpstr>'MẪU C13-TT LUONG'!DD0130040_608</vt:lpstr>
      <vt:lpstr>'MẪU C13-TT LUONG'!DD0130040_609</vt:lpstr>
      <vt:lpstr>'MẪU C13-TT LUONG'!DD0130040_610</vt:lpstr>
      <vt:lpstr>'MẪU C13-TT LUONG'!DD0130040_611</vt:lpstr>
      <vt:lpstr>'MẪU C13-TT LUONG'!DD0130040_612</vt:lpstr>
      <vt:lpstr>'MẪU C13-TT LUONG'!DD0130040_613</vt:lpstr>
      <vt:lpstr>'MẪU C13-TT LUONG'!DD0130040_614</vt:lpstr>
      <vt:lpstr>'MẪU C13-TT LUONG'!DD0130040_615</vt:lpstr>
      <vt:lpstr>'MẪU C13-TT LUONG'!DD0130040_616</vt:lpstr>
      <vt:lpstr>'MẪU C13-TT LUONG'!DD0130040_617</vt:lpstr>
      <vt:lpstr>'MẪU C13-TT LUONG'!DD0130040_618</vt:lpstr>
      <vt:lpstr>'MẪU C13-TT LUONG'!DD0130040_619</vt:lpstr>
      <vt:lpstr>'MẪU C13-TT LUONG'!DD0130040_620</vt:lpstr>
      <vt:lpstr>'MẪU C13-TT LUONG'!DD0130040_621</vt:lpstr>
      <vt:lpstr>'MẪU C13-TT LUONG'!DD0130040_622</vt:lpstr>
      <vt:lpstr>'MẪU C13-TT LUONG'!DD0130040_623</vt:lpstr>
      <vt:lpstr>'MẪU C13-TT LUONG'!DD0130040_624</vt:lpstr>
      <vt:lpstr>'MẪU C13-TT LUONG'!DD0130040_625</vt:lpstr>
      <vt:lpstr>'MẪU C13-TT LUONG'!DD0130040_626</vt:lpstr>
      <vt:lpstr>'MẪU C13-TT LUONG'!DD0130040_627</vt:lpstr>
      <vt:lpstr>'MẪU C13-TT LUONG'!DD0130040_628</vt:lpstr>
      <vt:lpstr>'MẪU C13-TT LUONG'!DD0130040_629</vt:lpstr>
      <vt:lpstr>'MẪU C13-TT LUONG'!DD0130040_630</vt:lpstr>
      <vt:lpstr>'MẪU C13-TT LUONG'!DD0130040_631</vt:lpstr>
      <vt:lpstr>'MẪU C13-TT LUONG'!DD0130040_632</vt:lpstr>
      <vt:lpstr>'MẪU C13-TT LUONG'!DD0130040_633</vt:lpstr>
      <vt:lpstr>'MẪU C13-TT LUONG'!DD0130040_634</vt:lpstr>
      <vt:lpstr>'MẪU C13-TT LUONG'!DD0130040_635</vt:lpstr>
      <vt:lpstr>'MẪU C13-TT LUONG'!DD0130040_636</vt:lpstr>
      <vt:lpstr>'MẪU C13-TT LUONG'!DD0130040_637</vt:lpstr>
      <vt:lpstr>'MẪU C13-TT LUONG'!DD0130040_638</vt:lpstr>
      <vt:lpstr>'MẪU C13-TT LUONG'!DD0130040_639</vt:lpstr>
      <vt:lpstr>'MẪU C13-TT LUONG'!DD0130040_640</vt:lpstr>
      <vt:lpstr>'MẪU C13-TT LUONG'!DD0130040_641</vt:lpstr>
      <vt:lpstr>'MẪU C13-TT LUONG'!DD0130040_642</vt:lpstr>
      <vt:lpstr>'MẪU C13-TT LUONG'!DD0130040_643</vt:lpstr>
      <vt:lpstr>'MẪU C13-TT LUONG'!DD0130040_644</vt:lpstr>
      <vt:lpstr>'MẪU C13-TT LUONG'!DD0130040_645</vt:lpstr>
      <vt:lpstr>'MẪU C13-TT LUONG'!DD0130040_646</vt:lpstr>
      <vt:lpstr>'MẪU C13-TT LUONG'!DD0130040_647</vt:lpstr>
      <vt:lpstr>'MẪU C13-TT LUONG'!DD0130040_648</vt:lpstr>
      <vt:lpstr>'MẪU C13-TT LUONG'!DD0130040_649</vt:lpstr>
      <vt:lpstr>'MẪU C13-TT LUONG'!DD0130040_650</vt:lpstr>
      <vt:lpstr>'MẪU C13-TT LUONG'!DD0130040_651</vt:lpstr>
      <vt:lpstr>'MẪU C13-TT LUONG'!DD0130040_652</vt:lpstr>
      <vt:lpstr>'MẪU C13-TT LUONG'!DD0130040_653</vt:lpstr>
      <vt:lpstr>'MẪU C13-TT LUONG'!DD0130040_654</vt:lpstr>
      <vt:lpstr>'MẪU C13-TT LUONG'!DD0130040_655</vt:lpstr>
      <vt:lpstr>'MẪU C13-TT LUONG'!DD0130040_656</vt:lpstr>
      <vt:lpstr>'MẪU C13-TT LUONG'!DD0130040_657</vt:lpstr>
      <vt:lpstr>'MẪU C13-TT LUONG'!DD0130040_658</vt:lpstr>
      <vt:lpstr>'MẪU C13-TT LUONG'!DD0130040_659</vt:lpstr>
      <vt:lpstr>'MẪU C13-TT LUONG'!DD0130040_660</vt:lpstr>
      <vt:lpstr>'MẪU C13-TT LUONG'!DD0130040_661</vt:lpstr>
      <vt:lpstr>'MẪU C13-TT LUONG'!DD0130040_662</vt:lpstr>
      <vt:lpstr>'MẪU C13-TT LUONG'!DD0130040_663</vt:lpstr>
      <vt:lpstr>'MẪU C13-TT LUONG'!DD0130040_664</vt:lpstr>
      <vt:lpstr>'MẪU C13-TT LUONG'!DD0130040_665</vt:lpstr>
      <vt:lpstr>'MẪU C13-TT LUONG'!DD0130040_666</vt:lpstr>
      <vt:lpstr>'MẪU C13-TT LUONG'!DD0130040_667</vt:lpstr>
      <vt:lpstr>'MẪU C13-TT LUONG'!DD0130040_668</vt:lpstr>
      <vt:lpstr>'MẪU C13-TT LUONG'!DD0130040_669</vt:lpstr>
      <vt:lpstr>'MẪU C13-TT LUONG'!DD0130040_670</vt:lpstr>
      <vt:lpstr>'MẪU C13-TT LUONG'!DD0130040_671</vt:lpstr>
      <vt:lpstr>'MẪU C13-TT LUONG'!DD0130040_672</vt:lpstr>
      <vt:lpstr>'MẪU C13-TT LUONG'!DD0130040_673</vt:lpstr>
      <vt:lpstr>'MẪU C13-TT LUONG'!DD0130040_674</vt:lpstr>
      <vt:lpstr>'MẪU C13-TT LUONG'!DD0130040_675</vt:lpstr>
      <vt:lpstr>'MẪU C13-TT LUONG'!DD0130040_676</vt:lpstr>
      <vt:lpstr>'MẪU C13-TT LUONG'!DD0130040_677</vt:lpstr>
      <vt:lpstr>'MẪU C13-TT LUONG'!DD0130040_678</vt:lpstr>
      <vt:lpstr>'MẪU C13-TT LUONG'!DD0130040_679</vt:lpstr>
      <vt:lpstr>'MẪU C13-TT LUONG'!DD0130040_680</vt:lpstr>
      <vt:lpstr>'MẪU C13-TT LUONG'!DD0130040_681</vt:lpstr>
      <vt:lpstr>'MẪU C13-TT LUONG'!DD0130040_682</vt:lpstr>
      <vt:lpstr>'MẪU C13-TT LUONG'!DD0130040_683</vt:lpstr>
      <vt:lpstr>'MẪU C13-TT LUONG'!DD0130040_684</vt:lpstr>
      <vt:lpstr>'MẪU C13-TT LUONG'!DD0130040_685</vt:lpstr>
      <vt:lpstr>'MẪU C13-TT LUONG'!DD0130040_686</vt:lpstr>
      <vt:lpstr>'MẪU C13-TT LUONG'!DD0130040_687</vt:lpstr>
      <vt:lpstr>'MẪU C13-TT LUONG'!DD0130040_688</vt:lpstr>
      <vt:lpstr>'MẪU C13-TT LUONG'!DD0130040_689</vt:lpstr>
      <vt:lpstr>'MẪU C13-TT LUONG'!DD0130040_690</vt:lpstr>
      <vt:lpstr>'MẪU C13-TT LUONG'!DD0130040_691</vt:lpstr>
      <vt:lpstr>'MẪU C13-TT LUONG'!DD0130040_692</vt:lpstr>
      <vt:lpstr>'MẪU C13-TT LUONG'!DD0130040_693</vt:lpstr>
      <vt:lpstr>'MẪU C13-TT LUONG'!DD0130040_694</vt:lpstr>
      <vt:lpstr>'MẪU C13-TT LUONG'!DD0130040_695</vt:lpstr>
      <vt:lpstr>'MẪU C13-TT LUONG'!DD0130040_696</vt:lpstr>
      <vt:lpstr>'MẪU C13-TT LUONG'!DD0130040_697</vt:lpstr>
      <vt:lpstr>'MẪU C13-TT LUONG'!DD0130040_698</vt:lpstr>
      <vt:lpstr>'MẪU C13-TT LUONG'!DD0130040_699</vt:lpstr>
      <vt:lpstr>'MẪU C13-TT LUONG'!DD0130040_700</vt:lpstr>
      <vt:lpstr>'MẪU C13-TT LUONG'!DD0130040_701</vt:lpstr>
      <vt:lpstr>'MẪU C13-TT LUONG'!DD0130040_702</vt:lpstr>
      <vt:lpstr>'MẪU C13-TT LUONG'!DD0130040_703</vt:lpstr>
      <vt:lpstr>'MẪU C13-TT LUONG'!DD0130040_704</vt:lpstr>
      <vt:lpstr>'MẪU C13-TT LUONG'!DD0130040_705</vt:lpstr>
      <vt:lpstr>'MẪU C13-TT LUONG'!DD0130040_706</vt:lpstr>
      <vt:lpstr>'MẪU C13-TT LUONG'!DD0130040_707</vt:lpstr>
      <vt:lpstr>'MẪU C13-TT LUONG'!DD0130040_708</vt:lpstr>
      <vt:lpstr>'MẪU C13-TT LUONG'!DD0130040_709</vt:lpstr>
      <vt:lpstr>'MẪU C13-TT LUONG'!DD0130040_710</vt:lpstr>
      <vt:lpstr>'MẪU C13-TT LUONG'!DD0130040_711</vt:lpstr>
      <vt:lpstr>'MẪU C13-TT LUONG'!DD0130040_712</vt:lpstr>
      <vt:lpstr>'MẪU C13-TT LUONG'!DD0130040_713</vt:lpstr>
      <vt:lpstr>'MẪU C13-TT LUONG'!DD0130040_714</vt:lpstr>
      <vt:lpstr>'MẪU C13-TT LUONG'!DD0130040_715</vt:lpstr>
      <vt:lpstr>'MẪU C13-TT LUONG'!DD0130040_716</vt:lpstr>
      <vt:lpstr>'MẪU C13-TT LUONG'!DD0130040_717</vt:lpstr>
      <vt:lpstr>'MẪU C13-TT LUONG'!DD0130040_718</vt:lpstr>
      <vt:lpstr>'MẪU C13-TT LUONG'!DD0130040_719</vt:lpstr>
      <vt:lpstr>'MẪU C13-TT LUONG'!DD0130040_720</vt:lpstr>
      <vt:lpstr>'MẪU C13-TT LUONG'!DD0130040_721</vt:lpstr>
      <vt:lpstr>'MẪU C13-TT LUONG'!DD0130040_722</vt:lpstr>
      <vt:lpstr>'MẪU C13-TT LUONG'!DD0130040_723</vt:lpstr>
      <vt:lpstr>'MẪU C13-TT LUONG'!DD0130040_724</vt:lpstr>
      <vt:lpstr>'MẪU C13-TT LUONG'!DD0130040_725</vt:lpstr>
      <vt:lpstr>'MẪU C13-TT LUONG'!DD0130040_726</vt:lpstr>
      <vt:lpstr>'MẪU C13-TT LUONG'!DD0130040_727</vt:lpstr>
      <vt:lpstr>'MẪU C13-TT LUONG'!DD0130040_728</vt:lpstr>
      <vt:lpstr>'MẪU C13-TT LUONG'!DD0130040_729</vt:lpstr>
      <vt:lpstr>'MẪU C13-TT LUONG'!DD0130040_730</vt:lpstr>
      <vt:lpstr>'MẪU C13-TT LUONG'!DD0130040_731</vt:lpstr>
      <vt:lpstr>'MẪU C13-TT LUONG'!DD0130040_732</vt:lpstr>
      <vt:lpstr>'MẪU C13-TT LUONG'!DD0130040_733</vt:lpstr>
      <vt:lpstr>'MẪU C13-TT LUONG'!DD0130040_734</vt:lpstr>
      <vt:lpstr>'MẪU C13-TT LUONG'!DD0130040_735</vt:lpstr>
      <vt:lpstr>'MẪU C13-TT LUONG'!DD0130040_736</vt:lpstr>
      <vt:lpstr>'MẪU C13-TT LUONG'!DD0130040_737</vt:lpstr>
      <vt:lpstr>'MẪU C13-TT LUONG'!DD0130040_738</vt:lpstr>
      <vt:lpstr>'MẪU C13-TT LUONG'!DD0130040_739</vt:lpstr>
      <vt:lpstr>'MẪU C13-TT LUONG'!DD0130040_740</vt:lpstr>
      <vt:lpstr>'MẪU C13-TT LUONG'!DD0130040_741</vt:lpstr>
      <vt:lpstr>'MẪU C13-TT LUONG'!DD0130040_742</vt:lpstr>
      <vt:lpstr>'MẪU C13-TT LUONG'!DD0130040_743</vt:lpstr>
      <vt:lpstr>'MẪU C13-TT LUONG'!DD0130040_744</vt:lpstr>
      <vt:lpstr>'MẪU C13-TT LUONG'!DD0130040_745</vt:lpstr>
      <vt:lpstr>'MẪU C13-TT LUONG'!DD0130040_746</vt:lpstr>
      <vt:lpstr>'MẪU C13-TT LUONG'!DD0130040_747</vt:lpstr>
      <vt:lpstr>'MẪU C13-TT LUONG'!DD0130040_748</vt:lpstr>
      <vt:lpstr>'MẪU C13-TT LUONG'!DD0130040_749</vt:lpstr>
      <vt:lpstr>'MẪU C13-TT LUONG'!DD0130040_750</vt:lpstr>
      <vt:lpstr>'MẪU C13-TT LUONG'!DD0130040_751</vt:lpstr>
      <vt:lpstr>'MẪU C13-TT LUONG'!DD0130040_752</vt:lpstr>
      <vt:lpstr>'MẪU C13-TT LUONG'!DD0130040_753</vt:lpstr>
      <vt:lpstr>'MẪU C13-TT LUONG'!DD0130040_754</vt:lpstr>
      <vt:lpstr>'MẪU C13-TT LUONG'!DD0130040_755</vt:lpstr>
      <vt:lpstr>'MẪU C13-TT LUONG'!DD0130040_756</vt:lpstr>
      <vt:lpstr>'MẪU C13-TT LUONG'!DD0130040_757</vt:lpstr>
      <vt:lpstr>'MẪU C13-TT LUONG'!DD0130040_758</vt:lpstr>
      <vt:lpstr>'MẪU C13-TT LUONG'!DD0130040_759</vt:lpstr>
      <vt:lpstr>'MẪU C13-TT LUONG'!DD0130040_760</vt:lpstr>
      <vt:lpstr>'MẪU C13-TT LUONG'!DD0130040_761</vt:lpstr>
      <vt:lpstr>'MẪU C13-TT LUONG'!DD0130040_762</vt:lpstr>
      <vt:lpstr>'MẪU C13-TT LUONG'!DD0130040_763</vt:lpstr>
      <vt:lpstr>'MẪU C13-TT LUONG'!DD0130040_764</vt:lpstr>
      <vt:lpstr>'MẪU C13-TT LUONG'!DD0130040_765</vt:lpstr>
      <vt:lpstr>'MẪU C13-TT LUONG'!DD0130040_766</vt:lpstr>
      <vt:lpstr>'MẪU C13-TT LUONG'!DD0130040_767</vt:lpstr>
      <vt:lpstr>'MẪU C13-TT LUONG'!DD0130040_768</vt:lpstr>
      <vt:lpstr>'MẪU C13-TT LUONG'!DD0130040_769</vt:lpstr>
      <vt:lpstr>'MẪU C13-TT LUONG'!DD0130040_770</vt:lpstr>
      <vt:lpstr>'MẪU C13-TT LUONG'!DD0130040_771</vt:lpstr>
      <vt:lpstr>'MẪU C13-TT LUONG'!DD0130040_772</vt:lpstr>
      <vt:lpstr>'MẪU C13-TT LUONG'!DD0130040_773</vt:lpstr>
      <vt:lpstr>'MẪU C13-TT LUONG'!DD0130040_774</vt:lpstr>
      <vt:lpstr>'MẪU C13-TT LUONG'!DD0130040_775</vt:lpstr>
      <vt:lpstr>'MẪU C13-TT LUONG'!DD0130040_776</vt:lpstr>
      <vt:lpstr>'MẪU C13-TT LUONG'!DD0130040_777</vt:lpstr>
      <vt:lpstr>'MẪU C13-TT LUONG'!DD0130040_778</vt:lpstr>
      <vt:lpstr>'MẪU C13-TT LUONG'!DD0130040_779</vt:lpstr>
      <vt:lpstr>'MẪU C13-TT LUONG'!DD0130040_780</vt:lpstr>
      <vt:lpstr>'MẪU C13-TT LUONG'!DD0130040_781</vt:lpstr>
      <vt:lpstr>'MẪU C13-TT LUONG'!DD0130040_782</vt:lpstr>
      <vt:lpstr>'MẪU C13-TT LUONG'!DD0130040_783</vt:lpstr>
      <vt:lpstr>'MẪU C13-TT LUONG'!DD0130040_784</vt:lpstr>
      <vt:lpstr>'MẪU C13-TT LUONG'!DD0130040_785</vt:lpstr>
      <vt:lpstr>'MẪU C13-TT LUONG'!DD0130040_786</vt:lpstr>
      <vt:lpstr>'MẪU C13-TT LUONG'!DD0130040_787</vt:lpstr>
      <vt:lpstr>'MẪU C13-TT LUONG'!DD0130040_788</vt:lpstr>
      <vt:lpstr>'MẪU C13-TT LUONG'!DD0130040_789</vt:lpstr>
      <vt:lpstr>'MẪU C13-TT LUONG'!DD0130040_790</vt:lpstr>
      <vt:lpstr>'MẪU C13-TT LUONG'!DD0130040_791</vt:lpstr>
      <vt:lpstr>'MẪU C13-TT LUONG'!DD0130040_792</vt:lpstr>
      <vt:lpstr>'MẪU C13-TT LUONG'!DD0130040_793</vt:lpstr>
      <vt:lpstr>'MẪU C13-TT LUONG'!DD0130040_794</vt:lpstr>
      <vt:lpstr>'MẪU C13-TT LUONG'!DD0130040_795</vt:lpstr>
      <vt:lpstr>'MẪU C13-TT LUONG'!DD0130040_796</vt:lpstr>
      <vt:lpstr>'MẪU C13-TT LUONG'!DD0130040_797</vt:lpstr>
      <vt:lpstr>'MẪU C13-TT LUONG'!DD0130040_798</vt:lpstr>
      <vt:lpstr>'MẪU C13-TT LUONG'!DD0130040_799</vt:lpstr>
      <vt:lpstr>'MẪU C13-TT LUONG'!DD0130040_800</vt:lpstr>
      <vt:lpstr>'MẪU C13-TT LUONG'!DD0130040_801</vt:lpstr>
      <vt:lpstr>'MẪU C13-TT LUONG'!DD0130040_802</vt:lpstr>
      <vt:lpstr>'MẪU C13-TT LUONG'!DD0130040_803</vt:lpstr>
      <vt:lpstr>'MẪU C13-TT LUONG'!DD0130040_804</vt:lpstr>
      <vt:lpstr>'MẪU C13-TT LUONG'!DD0130040_805</vt:lpstr>
      <vt:lpstr>'MẪU C13-TT LUONG'!DD0130040_806</vt:lpstr>
      <vt:lpstr>'MẪU C13-TT LUONG'!DD0130040_807</vt:lpstr>
      <vt:lpstr>'MẪU C13-TT LUONG'!DD0130040_808</vt:lpstr>
      <vt:lpstr>'MẪU C13-TT LUONG'!DD0130040_809</vt:lpstr>
      <vt:lpstr>'MẪU C13-TT LUONG'!DD0130040_810</vt:lpstr>
      <vt:lpstr>'MẪU C13-TT LUONG'!DD0130040_811</vt:lpstr>
      <vt:lpstr>'MẪU C13-TT LUONG'!DD0130040_812</vt:lpstr>
      <vt:lpstr>'MẪU C13-TT LUONG'!DD0130040_813</vt:lpstr>
      <vt:lpstr>'MẪU C13-TT LUONG'!DD0130040_814</vt:lpstr>
      <vt:lpstr>'MẪU C13-TT LUONG'!DD0130040_815</vt:lpstr>
      <vt:lpstr>'MẪU C13-TT LUONG'!DD0130040_816</vt:lpstr>
      <vt:lpstr>'MẪU C13-TT LUONG'!DD0130040_817</vt:lpstr>
      <vt:lpstr>'MẪU C13-TT LUONG'!DD0130040_818</vt:lpstr>
      <vt:lpstr>'MẪU C13-TT LUONG'!DD0130040_819</vt:lpstr>
      <vt:lpstr>'MẪU C13-TT LUONG'!DD0130040_820</vt:lpstr>
      <vt:lpstr>'MẪU C13-TT LUONG'!DD0130040_821</vt:lpstr>
      <vt:lpstr>'MẪU C13-TT LUONG'!DD0130040_822</vt:lpstr>
      <vt:lpstr>'MẪU C13-TT LUONG'!DD0130040_823</vt:lpstr>
      <vt:lpstr>'MẪU C13-TT LUONG'!DD0130040_824</vt:lpstr>
      <vt:lpstr>'MẪU C13-TT LUONG'!DD0130040_825</vt:lpstr>
      <vt:lpstr>'MẪU C13-TT LUONG'!DD0130040_826</vt:lpstr>
      <vt:lpstr>'MẪU C13-TT LUONG'!DD0130040_827</vt:lpstr>
      <vt:lpstr>'MẪU C13-TT LUONG'!DD0130040_828</vt:lpstr>
      <vt:lpstr>'MẪU C13-TT LUONG'!DD0130040_829</vt:lpstr>
      <vt:lpstr>'MẪU C13-TT LUONG'!DD0130040_830</vt:lpstr>
      <vt:lpstr>'MẪU C13-TT LUONG'!DD0130040_831</vt:lpstr>
      <vt:lpstr>'MẪU C13-TT LUONG'!DD0130040_832</vt:lpstr>
      <vt:lpstr>'MẪU C13-TT LUONG'!DD0130040_833</vt:lpstr>
      <vt:lpstr>'MẪU C13-TT LUONG'!DD0130040_834</vt:lpstr>
      <vt:lpstr>'MẪU C13-TT LUONG'!DD0130040_835</vt:lpstr>
      <vt:lpstr>'MẪU C13-TT LUONG'!DD0130040_836</vt:lpstr>
      <vt:lpstr>'MẪU C13-TT LUONG'!DD0130040_837</vt:lpstr>
      <vt:lpstr>'MẪU C13-TT LUONG'!DD0130040_838</vt:lpstr>
      <vt:lpstr>'MẪU C13-TT LUONG'!DD0130040_839</vt:lpstr>
      <vt:lpstr>'MẪU C13-TT LUONG'!DD0130040_840</vt:lpstr>
      <vt:lpstr>'MẪU C13-TT LUONG'!DD0130040_841</vt:lpstr>
      <vt:lpstr>'MẪU C13-TT LUONG'!DD0130040_842</vt:lpstr>
      <vt:lpstr>'MẪU C13-TT LUONG'!DD0130040_843</vt:lpstr>
      <vt:lpstr>'MẪU C13-TT LUONG'!DD0130040_844</vt:lpstr>
      <vt:lpstr>'MẪU C13-TT LUONG'!DD0130040_845</vt:lpstr>
      <vt:lpstr>'MẪU C13-TT LUONG'!DD0130040_846</vt:lpstr>
      <vt:lpstr>'MẪU C13-TT LUONG'!DD0130040_847</vt:lpstr>
      <vt:lpstr>'MẪU C13-TT LUONG'!DD0130040_848</vt:lpstr>
      <vt:lpstr>'MẪU C13-TT LUONG'!DD0130040_849</vt:lpstr>
      <vt:lpstr>'MẪU C13-TT LUONG'!DD0130040_850</vt:lpstr>
      <vt:lpstr>'MẪU C13-TT LUONG'!DD0130040_851</vt:lpstr>
      <vt:lpstr>'MẪU C13-TT LUONG'!DD0130040_852</vt:lpstr>
      <vt:lpstr>'MẪU C13-TT LUONG'!DD0130040_853</vt:lpstr>
      <vt:lpstr>'MẪU C13-TT LUONG'!DD0130040_854</vt:lpstr>
      <vt:lpstr>'MẪU C13-TT LUONG'!DD0130040_855</vt:lpstr>
      <vt:lpstr>'MẪU C13-TT LUONG'!DD0130040_856</vt:lpstr>
      <vt:lpstr>'MẪU C13-TT LUONG'!DD0130040_857</vt:lpstr>
      <vt:lpstr>'MẪU C13-TT LUONG'!DD0130040_858</vt:lpstr>
      <vt:lpstr>'MẪU C13-TT LUONG'!DD0130040_859</vt:lpstr>
      <vt:lpstr>'MẪU C13-TT LUONG'!DD0130040_860</vt:lpstr>
      <vt:lpstr>'MẪU C13-TT LUONG'!DD0130040_861</vt:lpstr>
      <vt:lpstr>'MẪU C13-TT LUONG'!DD0130040_862</vt:lpstr>
      <vt:lpstr>'MẪU C13-TT LUONG'!DD0130040_863</vt:lpstr>
      <vt:lpstr>'MẪU C13-TT LUONG'!DD0130040_864</vt:lpstr>
      <vt:lpstr>'MẪU C13-TT LUONG'!DD0130040_865</vt:lpstr>
      <vt:lpstr>'MẪU C13-TT LUONG'!DD0130040_866</vt:lpstr>
      <vt:lpstr>'MẪU C13-TT LUONG'!DD0130040_867</vt:lpstr>
      <vt:lpstr>'MẪU C13-TT LUONG'!DD0130040_868</vt:lpstr>
      <vt:lpstr>'MẪU C13-TT LUONG'!DD0130040_869</vt:lpstr>
      <vt:lpstr>'MẪU C13-TT LUONG'!DD0130040_870</vt:lpstr>
      <vt:lpstr>'MẪU C13-TT LUONG'!DD0130040_871</vt:lpstr>
      <vt:lpstr>'MẪU C13-TT LUONG'!DD0130040_872</vt:lpstr>
      <vt:lpstr>'MẪU C13-TT LUONG'!DD0130040_873</vt:lpstr>
      <vt:lpstr>'MẪU C13-TT LUONG'!DD0130040_874</vt:lpstr>
      <vt:lpstr>'MẪU C13-TT LUONG'!DD0130040_875</vt:lpstr>
      <vt:lpstr>'MẪU C13-TT LUONG'!DD0130040_876</vt:lpstr>
      <vt:lpstr>'MẪU C13-TT LUONG'!DD0130040_877</vt:lpstr>
      <vt:lpstr>'MẪU C13-TT LUONG'!DD0130040_878</vt:lpstr>
      <vt:lpstr>'MẪU C13-TT LUONG'!DD0130040_879</vt:lpstr>
      <vt:lpstr>'MẪU C13-TT LUONG'!DD0130040_880</vt:lpstr>
      <vt:lpstr>'MẪU C13-TT LUONG'!DD0130040_881</vt:lpstr>
      <vt:lpstr>'MẪU C13-TT LUONG'!DD0130040_882</vt:lpstr>
      <vt:lpstr>'MẪU C13-TT LUONG'!DD0130040_883</vt:lpstr>
      <vt:lpstr>'MẪU C13-TT LUONG'!DD0130040_884</vt:lpstr>
      <vt:lpstr>'MẪU C13-TT LUONG'!DD0130040_885</vt:lpstr>
      <vt:lpstr>'MẪU C13-TT LUONG'!DD0130040_886</vt:lpstr>
      <vt:lpstr>'MẪU C13-TT LUONG'!DD0130040_887</vt:lpstr>
      <vt:lpstr>'MẪU C13-TT LUONG'!DD0130040_888</vt:lpstr>
      <vt:lpstr>'MẪU C13-TT LUONG'!DD0130040_889</vt:lpstr>
      <vt:lpstr>'MẪU C13-TT LUONG'!DD0130040_890</vt:lpstr>
      <vt:lpstr>'MẪU C13-TT LUONG'!DD0130040_891</vt:lpstr>
      <vt:lpstr>'MẪU C13-TT LUONG'!DD0130040_892</vt:lpstr>
      <vt:lpstr>'MẪU C13-TT LUONG'!DD0130040_893</vt:lpstr>
      <vt:lpstr>'MẪU C13-TT LUONG'!DD0130040_894</vt:lpstr>
      <vt:lpstr>'MẪU C13-TT LUONG'!DD0130040_895</vt:lpstr>
      <vt:lpstr>'MẪU C13-TT LUONG'!DD0130040_896</vt:lpstr>
      <vt:lpstr>'MẪU C13-TT LUONG'!DD0130040_897</vt:lpstr>
      <vt:lpstr>'MẪU C13-TT LUONG'!DD0130040_898</vt:lpstr>
      <vt:lpstr>'MẪU C13-TT LUONG'!DD0130040_899</vt:lpstr>
      <vt:lpstr>'MẪU C13-TT LUONG'!DD0130040_900</vt:lpstr>
      <vt:lpstr>'MẪU C13-TT LUONG'!DD0130040_901</vt:lpstr>
      <vt:lpstr>'MẪU C13-TT LUONG'!DD0130040_902</vt:lpstr>
      <vt:lpstr>'MẪU C13-TT LUONG'!DD0130040_903</vt:lpstr>
      <vt:lpstr>'MẪU C13-TT LUONG'!DD0130040_904</vt:lpstr>
      <vt:lpstr>'MẪU C13-TT LUONG'!DD0130040_905</vt:lpstr>
      <vt:lpstr>'MẪU C13-TT LUONG'!DD0130040_906</vt:lpstr>
      <vt:lpstr>'MẪU C13-TT LUONG'!DD0130040_907</vt:lpstr>
      <vt:lpstr>'MẪU C13-TT LUONG'!DD0130040_908</vt:lpstr>
      <vt:lpstr>'MẪU C13-TT LUONG'!DD0130040_909</vt:lpstr>
      <vt:lpstr>'MẪU C13-TT LUONG'!DD0130040_910</vt:lpstr>
      <vt:lpstr>'MẪU C13-TT LUONG'!DD0130040_911</vt:lpstr>
      <vt:lpstr>'MẪU C13-TT LUONG'!DD0130040_912</vt:lpstr>
      <vt:lpstr>'MẪU C13-TT LUONG'!DD0130040_913</vt:lpstr>
      <vt:lpstr>'MẪU C13-TT LUONG'!DD0130040_914</vt:lpstr>
      <vt:lpstr>'MẪU C13-TT LUONG'!DD0130040_915</vt:lpstr>
      <vt:lpstr>'MẪU C13-TT LUONG'!DD0130040_916</vt:lpstr>
      <vt:lpstr>'MẪU C13-TT LUONG'!DD0130040_917</vt:lpstr>
      <vt:lpstr>'MẪU C13-TT LUONG'!DD0130040_918</vt:lpstr>
      <vt:lpstr>'MẪU C13-TT LUONG'!DD0130040_919</vt:lpstr>
      <vt:lpstr>'MẪU C13-TT LUONG'!DD0130040_920</vt:lpstr>
      <vt:lpstr>'MẪU C13-TT LUONG'!DD0130040_921</vt:lpstr>
      <vt:lpstr>'MẪU C13-TT LUONG'!DD0130040_922</vt:lpstr>
      <vt:lpstr>'MẪU C13-TT LUONG'!DD0130040_923</vt:lpstr>
      <vt:lpstr>'MẪU C13-TT LUONG'!DD0130040_924</vt:lpstr>
      <vt:lpstr>'MẪU C13-TT LUONG'!DD0130040_925</vt:lpstr>
      <vt:lpstr>'MẪU C13-TT LUONG'!DD0130040_926</vt:lpstr>
      <vt:lpstr>'MẪU C13-TT LUONG'!DD0130040_927</vt:lpstr>
      <vt:lpstr>'MẪU C13-TT LUONG'!DD0130040_928</vt:lpstr>
      <vt:lpstr>'MẪU C13-TT LUONG'!DD0130040_929</vt:lpstr>
      <vt:lpstr>'MẪU C13-TT LUONG'!DD0130040_930</vt:lpstr>
      <vt:lpstr>'MẪU C13-TT LUONG'!DD0130040_931</vt:lpstr>
      <vt:lpstr>'MẪU C13-TT LUONG'!DD0130040_932</vt:lpstr>
      <vt:lpstr>'MẪU C13-TT LUONG'!DD0130040_933</vt:lpstr>
      <vt:lpstr>'MẪU C13-TT LUONG'!DD0130040_934</vt:lpstr>
      <vt:lpstr>'MẪU C13-TT LUONG'!DD0130040_935</vt:lpstr>
      <vt:lpstr>'MẪU C13-TT LUONG'!DD0130040_936</vt:lpstr>
      <vt:lpstr>'MẪU C13-TT LUONG'!DD0130040_937</vt:lpstr>
      <vt:lpstr>'MẪU C13-TT LUONG'!DD0130040_938</vt:lpstr>
      <vt:lpstr>'MẪU C13-TT LUONG'!DD0130040_939</vt:lpstr>
      <vt:lpstr>'MẪU C13-TT LUONG'!DD0130040_940</vt:lpstr>
      <vt:lpstr>'MẪU C13-TT LUONG'!DD0130040_941</vt:lpstr>
      <vt:lpstr>'MẪU C13-TT LUONG'!DD0130040_942</vt:lpstr>
      <vt:lpstr>'MẪU C13-TT LUONG'!DD0130040_943</vt:lpstr>
      <vt:lpstr>'MẪU C13-TT LUONG'!DD0130040_944</vt:lpstr>
      <vt:lpstr>'MẪU C13-TT LUONG'!DD0130040_945</vt:lpstr>
      <vt:lpstr>'MẪU C13-TT LUONG'!DD0130040_946</vt:lpstr>
      <vt:lpstr>'MẪU C13-TT LUONG'!DD0130040_947</vt:lpstr>
      <vt:lpstr>'MẪU C13-TT LUONG'!DD0130040_948</vt:lpstr>
      <vt:lpstr>'MẪU C13-TT LUONG'!DD0130040_949</vt:lpstr>
      <vt:lpstr>'MẪU C13-TT LUONG'!DD0130040_950</vt:lpstr>
      <vt:lpstr>'MẪU C13-TT LUONG'!DD0130040_951</vt:lpstr>
      <vt:lpstr>'MẪU C13-TT LUONG'!DD0130040_952</vt:lpstr>
      <vt:lpstr>'MẪU C13-TT LUONG'!DD0130040_953</vt:lpstr>
      <vt:lpstr>'MẪU C13-TT LUONG'!DD0130040_954</vt:lpstr>
      <vt:lpstr>'MẪU C13-TT LUONG'!DD0130040_955</vt:lpstr>
      <vt:lpstr>'MẪU C13-TT LUONG'!DD0130040_956</vt:lpstr>
      <vt:lpstr>'MẪU C13-TT LUONG'!DD0130040_957</vt:lpstr>
      <vt:lpstr>'MẪU C13-TT LUONG'!DD0130040_958</vt:lpstr>
      <vt:lpstr>'MẪU C13-TT LUONG'!DD0130040_959</vt:lpstr>
      <vt:lpstr>'MẪU C13-TT LUONG'!DD0130040_960</vt:lpstr>
      <vt:lpstr>'MẪU C13-TT LUONG'!DD0130040_961</vt:lpstr>
      <vt:lpstr>'MẪU C13-TT LUONG'!DD0130040_962</vt:lpstr>
      <vt:lpstr>'MẪU C13-TT LUONG'!DD0130040_963</vt:lpstr>
      <vt:lpstr>'MẪU C13-TT LUONG'!DD0130040_964</vt:lpstr>
      <vt:lpstr>'MẪU C13-TT LUONG'!DD0130040_965</vt:lpstr>
      <vt:lpstr>'MẪU C13-TT LUONG'!DD0130040_966</vt:lpstr>
      <vt:lpstr>'MẪU C13-TT LUONG'!DD0130040_967</vt:lpstr>
      <vt:lpstr>'MẪU C13-TT LUONG'!DD0130040_968</vt:lpstr>
      <vt:lpstr>'MẪU C13-TT LUONG'!DD0130040_969</vt:lpstr>
      <vt:lpstr>'MẪU C13-TT LUONG'!DD0130040_970</vt:lpstr>
      <vt:lpstr>'MẪU C13-TT LUONG'!DD0130040_971</vt:lpstr>
      <vt:lpstr>'MẪU C13-TT LUONG'!DD0130040_972</vt:lpstr>
      <vt:lpstr>'MẪU C13-TT LUONG'!DD0130040_973</vt:lpstr>
      <vt:lpstr>'MẪU C13-TT LUONG'!DD0130040_974</vt:lpstr>
      <vt:lpstr>'MẪU C13-TT LUONG'!DD0130040_975</vt:lpstr>
      <vt:lpstr>'MẪU C13-TT LUONG'!DD0130040_976</vt:lpstr>
      <vt:lpstr>'MẪU C13-TT LUONG'!DD0130040_977</vt:lpstr>
      <vt:lpstr>'MẪU C13-TT LUONG'!DD0130040_978</vt:lpstr>
      <vt:lpstr>'MẪU C13-TT LUONG'!DD0130040_979</vt:lpstr>
      <vt:lpstr>'MẪU C13-TT LUONG'!DD0130040_980</vt:lpstr>
      <vt:lpstr>'MẪU C13-TT LUONG'!DD0130040_981</vt:lpstr>
      <vt:lpstr>'MẪU C13-TT LUONG'!DD0130040_982</vt:lpstr>
      <vt:lpstr>'MẪU C13-TT LUONG'!DD0130040_983</vt:lpstr>
      <vt:lpstr>'MẪU C13-TT LUONG'!DD0130040_984</vt:lpstr>
      <vt:lpstr>'MẪU C13-TT LUONG'!DD0130040_985</vt:lpstr>
      <vt:lpstr>'MẪU C13-TT LUONG'!DD0130040_986</vt:lpstr>
      <vt:lpstr>'MẪU C13-TT LUONG'!DD0130040_987</vt:lpstr>
      <vt:lpstr>'MẪU C13-TT LUONG'!DD0130040_988</vt:lpstr>
      <vt:lpstr>'MẪU C13-TT LUONG'!DD0130040_989</vt:lpstr>
      <vt:lpstr>'MẪU C13-TT LUONG'!DD0130040_990</vt:lpstr>
      <vt:lpstr>'MẪU C13-TT LUONG'!DD0130040_991</vt:lpstr>
      <vt:lpstr>'MẪU C13-TT LUONG'!DD0130040_992</vt:lpstr>
      <vt:lpstr>'MẪU C13-TT LUONG'!DD0130040_993</vt:lpstr>
      <vt:lpstr>'MẪU C13-TT LUONG'!DD0130040_994</vt:lpstr>
      <vt:lpstr>'MẪU C13-TT LUONG'!DD0130040_995</vt:lpstr>
      <vt:lpstr>'MẪU C13-TT LUONG'!DD0130040_996</vt:lpstr>
      <vt:lpstr>'MẪU C13-TT LUONG'!DD0130040_997</vt:lpstr>
      <vt:lpstr>'MẪU C13-TT LUONG'!DD0130040_998</vt:lpstr>
      <vt:lpstr>'MẪU C13-TT LUONG'!DD0130040_999</vt:lpstr>
      <vt:lpstr>dochai</vt:lpstr>
      <vt:lpstr>hesochucvu_bc</vt:lpstr>
      <vt:lpstr>hesochucvu_dh</vt:lpstr>
      <vt:lpstr>'Luong HĐ 68'!hesochucvu_vv</vt:lpstr>
      <vt:lpstr>hesochucvu_vv</vt:lpstr>
      <vt:lpstr>hesodochai_bc</vt:lpstr>
      <vt:lpstr>hesodochai_dh</vt:lpstr>
      <vt:lpstr>'Luong HĐ 68'!hesodochai_vv</vt:lpstr>
      <vt:lpstr>hesodochai_vv</vt:lpstr>
      <vt:lpstr>hesokhuvuc_bc</vt:lpstr>
      <vt:lpstr>hesokhuvuc_dh</vt:lpstr>
      <vt:lpstr>'Luong HĐ 68'!hesokhuvuc_vv</vt:lpstr>
      <vt:lpstr>hesokhuvuc_vv</vt:lpstr>
      <vt:lpstr>hesokiemnhiem_bc</vt:lpstr>
      <vt:lpstr>hesokiemnhiem_dh</vt:lpstr>
      <vt:lpstr>hesoluongcanban_bc</vt:lpstr>
      <vt:lpstr>hesoluongcanban_dh</vt:lpstr>
      <vt:lpstr>'Luong HĐ 68'!hesoluongcanban_vv</vt:lpstr>
      <vt:lpstr>hesoluongcanban_vv</vt:lpstr>
      <vt:lpstr>hesopcln_1</vt:lpstr>
      <vt:lpstr>hesopcln_2</vt:lpstr>
      <vt:lpstr>hesơpcth70_1</vt:lpstr>
      <vt:lpstr>hesopcth70_2</vt:lpstr>
      <vt:lpstr>hesothamniennghe_bc</vt:lpstr>
      <vt:lpstr>hesothamniennghe_dh</vt:lpstr>
      <vt:lpstr>'Luong HĐ 68'!hesothamniennghe_vv</vt:lpstr>
      <vt:lpstr>hesothamniennghe_vv</vt:lpstr>
      <vt:lpstr>hesotrachnhiem_bc</vt:lpstr>
      <vt:lpstr>hesotrachnhiem_dh</vt:lpstr>
      <vt:lpstr>'Luong HĐ 68'!hesotrachnhiem_vv</vt:lpstr>
      <vt:lpstr>hesotrachnhiem_vv</vt:lpstr>
      <vt:lpstr>hesouudainghe_bc</vt:lpstr>
      <vt:lpstr>hesouudainghe_dh</vt:lpstr>
      <vt:lpstr>'Luong HĐ 68'!hesouudainghe_vv</vt:lpstr>
      <vt:lpstr>hesouudainghe_vv</vt:lpstr>
      <vt:lpstr>hesovuotkhung_bc</vt:lpstr>
      <vt:lpstr>hesovuotkhung_dh</vt:lpstr>
      <vt:lpstr>'Luong HĐ 68'!hesovuotkhung_vv</vt:lpstr>
      <vt:lpstr>hesovuotkhung_vv</vt:lpstr>
      <vt:lpstr>kbhtn_1</vt:lpstr>
      <vt:lpstr>kbhtn_2</vt:lpstr>
      <vt:lpstr>kbhtn_3</vt:lpstr>
      <vt:lpstr>kbhtn_5</vt:lpstr>
      <vt:lpstr>khuvuc</vt:lpstr>
      <vt:lpstr>kiemnhiem</vt:lpstr>
      <vt:lpstr>kpcd</vt:lpstr>
      <vt:lpstr>kpcd_1</vt:lpstr>
      <vt:lpstr>kpcd_2</vt:lpstr>
      <vt:lpstr>lb_1</vt:lpstr>
      <vt:lpstr>lb_2</vt:lpstr>
      <vt:lpstr>lb_3</vt:lpstr>
      <vt:lpstr>lb_4</vt:lpstr>
      <vt:lpstr>luongcanban</vt:lpstr>
      <vt:lpstr>luongcanban_1</vt:lpstr>
      <vt:lpstr>luongcanban_2</vt:lpstr>
      <vt:lpstr>mabacluong</vt:lpstr>
      <vt:lpstr>mabienche</vt:lpstr>
      <vt:lpstr>machucvu</vt:lpstr>
      <vt:lpstr>madaihan</vt:lpstr>
      <vt:lpstr>'Dang phi (2)'!madang</vt:lpstr>
      <vt:lpstr>madang</vt:lpstr>
      <vt:lpstr>madochai</vt:lpstr>
      <vt:lpstr>makhoanviec</vt:lpstr>
      <vt:lpstr>makhuvuc</vt:lpstr>
      <vt:lpstr>makiemnhiem</vt:lpstr>
      <vt:lpstr>manhanvien</vt:lpstr>
      <vt:lpstr>maphukienhopdong</vt:lpstr>
      <vt:lpstr>mathamniennghe</vt:lpstr>
      <vt:lpstr>matrachnhiem</vt:lpstr>
      <vt:lpstr>matrocap</vt:lpstr>
      <vt:lpstr>mauudainghe</vt:lpstr>
      <vt:lpstr>mavuotkhung</vt:lpstr>
      <vt:lpstr>'Luong HĐ 68'!mavuviec</vt:lpstr>
      <vt:lpstr>mavuviec</vt:lpstr>
      <vt:lpstr>ngay</vt:lpstr>
      <vt:lpstr>nhanvien</vt:lpstr>
      <vt:lpstr>pc1165070100</vt:lpstr>
      <vt:lpstr>phukienhopdong</vt:lpstr>
      <vt:lpstr>'MẪU C13-TT LUONG'!Print_Area</vt:lpstr>
      <vt:lpstr>nhanvien!Print_Area</vt:lpstr>
      <vt:lpstr>'Tro cap 116'!Print_Area</vt:lpstr>
      <vt:lpstr>'Nhân sự'!Print_Titles</vt:lpstr>
      <vt:lpstr>sothang</vt:lpstr>
      <vt:lpstr>thamniennghe</vt:lpstr>
      <vt:lpstr>thang</vt:lpstr>
      <vt:lpstr>thuclinh</vt:lpstr>
      <vt:lpstr>thuclinh_bc</vt:lpstr>
      <vt:lpstr>thuclinh_dh</vt:lpstr>
      <vt:lpstr>thuclinh_mt</vt:lpstr>
      <vt:lpstr>'Luong HĐ 68'!thuclinh_vv</vt:lpstr>
      <vt:lpstr>thuclinh_vv</vt:lpstr>
      <vt:lpstr>trachnhiem</vt:lpstr>
      <vt:lpstr>uudainghe</vt:lpstr>
      <vt:lpstr>vuotkhung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2022-11-22T03:19:49Z</cp:lastPrinted>
  <dcterms:created xsi:type="dcterms:W3CDTF">1996-10-14T23:33:28Z</dcterms:created>
  <dcterms:modified xsi:type="dcterms:W3CDTF">2022-11-28T06:46:39Z</dcterms:modified>
</cp:coreProperties>
</file>